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170\AC\Temp\"/>
    </mc:Choice>
  </mc:AlternateContent>
  <xr:revisionPtr revIDLastSave="13" documentId="8_{CF34FCCB-098A-DA46-8267-D670FC7AD65F}" xr6:coauthVersionLast="47" xr6:coauthVersionMax="47" xr10:uidLastSave="{F2475CC6-9085-D94F-AF77-73425AEFCE30}"/>
  <bookViews>
    <workbookView xWindow="-60" yWindow="-60" windowWidth="15480" windowHeight="11640" activeTab="3" xr2:uid="{8CAE8F74-5926-4E74-9AEE-C3EA990E8A76}"/>
  </bookViews>
  <sheets>
    <sheet name="Kampe" sheetId="10" r:id="rId1"/>
    <sheet name="Rækker" sheetId="6" r:id="rId2"/>
    <sheet name="Rækker - Udskrift" sheetId="3" r:id="rId3"/>
    <sheet name="Resultater" sheetId="15" r:id="rId4"/>
    <sheet name="DB" sheetId="11" state="hidden" r:id="rId5"/>
  </sheets>
  <externalReferences>
    <externalReference r:id="rId6"/>
    <externalReference r:id="rId7"/>
  </externalReferences>
  <definedNames>
    <definedName name="_xlnm.Print_Area" localSheetId="1">Rækker!$A$1:$P$20</definedName>
    <definedName name="_xlnm.Print_Area" localSheetId="2">'Rækker - Udskrift'!$A$1:$BA$77</definedName>
    <definedName name="_xlnm.Print_Area" localSheetId="3">Resultater!$A$1:$L$11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1" l="1"/>
  <c r="H1" i="11"/>
  <c r="B2" i="11"/>
  <c r="D2" i="11"/>
  <c r="H2" i="11"/>
  <c r="B3" i="11"/>
  <c r="D3" i="11"/>
  <c r="H3" i="11"/>
  <c r="B4" i="11"/>
  <c r="D4" i="11"/>
  <c r="H4" i="11"/>
  <c r="C5" i="11"/>
  <c r="D5" i="11"/>
  <c r="D6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B6" i="11"/>
  <c r="A12" i="11"/>
  <c r="C12" i="11"/>
  <c r="D12" i="11"/>
  <c r="F12" i="11"/>
  <c r="H12" i="11"/>
  <c r="J12" i="11"/>
  <c r="K12" i="11"/>
  <c r="L12" i="11"/>
  <c r="M12" i="11"/>
  <c r="I12" i="11"/>
  <c r="P12" i="11"/>
  <c r="N12" i="11"/>
  <c r="O12" i="11"/>
  <c r="A13" i="11"/>
  <c r="C13" i="11"/>
  <c r="D13" i="11"/>
  <c r="F13" i="11"/>
  <c r="H13" i="11"/>
  <c r="J13" i="11"/>
  <c r="K13" i="11"/>
  <c r="L13" i="11"/>
  <c r="M13" i="11"/>
  <c r="I13" i="11"/>
  <c r="P13" i="11"/>
  <c r="N13" i="11"/>
  <c r="O13" i="11"/>
  <c r="A14" i="11"/>
  <c r="C14" i="11"/>
  <c r="D14" i="11"/>
  <c r="F14" i="11"/>
  <c r="H14" i="11"/>
  <c r="J14" i="11"/>
  <c r="K14" i="11"/>
  <c r="L14" i="11"/>
  <c r="M14" i="11"/>
  <c r="I14" i="11"/>
  <c r="P14" i="11"/>
  <c r="N14" i="11"/>
  <c r="O14" i="11"/>
  <c r="A15" i="11"/>
  <c r="C15" i="11"/>
  <c r="D15" i="11"/>
  <c r="F15" i="11"/>
  <c r="H15" i="11"/>
  <c r="J15" i="11"/>
  <c r="K15" i="11"/>
  <c r="L15" i="11"/>
  <c r="M15" i="11"/>
  <c r="I15" i="11"/>
  <c r="P15" i="11"/>
  <c r="N15" i="11"/>
  <c r="O15" i="11"/>
  <c r="A16" i="11"/>
  <c r="C16" i="11"/>
  <c r="D16" i="11"/>
  <c r="F16" i="11"/>
  <c r="H16" i="11"/>
  <c r="J16" i="11"/>
  <c r="K16" i="11"/>
  <c r="L16" i="11"/>
  <c r="M16" i="11"/>
  <c r="I16" i="11"/>
  <c r="P16" i="11"/>
  <c r="N16" i="11"/>
  <c r="O16" i="11"/>
  <c r="A17" i="11"/>
  <c r="C17" i="11"/>
  <c r="D17" i="11"/>
  <c r="F17" i="11"/>
  <c r="H17" i="11"/>
  <c r="J17" i="11"/>
  <c r="K17" i="11"/>
  <c r="L17" i="11"/>
  <c r="M17" i="11"/>
  <c r="I17" i="11"/>
  <c r="P17" i="11"/>
  <c r="N17" i="11"/>
  <c r="O17" i="11"/>
  <c r="Q17" i="11"/>
  <c r="R17" i="11"/>
  <c r="S17" i="11"/>
  <c r="T17" i="11"/>
  <c r="U17" i="11"/>
  <c r="V17" i="11"/>
  <c r="W17" i="11"/>
  <c r="X17" i="11"/>
  <c r="Y17" i="11"/>
  <c r="Z17" i="11"/>
  <c r="AA17" i="11"/>
  <c r="AB17" i="11"/>
  <c r="AC17" i="11"/>
  <c r="AG17" i="11"/>
  <c r="AP17" i="11"/>
  <c r="A18" i="11"/>
  <c r="C18" i="11"/>
  <c r="D18" i="11"/>
  <c r="F18" i="11"/>
  <c r="H18" i="11"/>
  <c r="J18" i="11"/>
  <c r="K18" i="11"/>
  <c r="L18" i="11"/>
  <c r="M18" i="11"/>
  <c r="I18" i="11"/>
  <c r="P18" i="11"/>
  <c r="N18" i="11"/>
  <c r="O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G18" i="11"/>
  <c r="AP18" i="11"/>
  <c r="A19" i="11"/>
  <c r="C19" i="11"/>
  <c r="D19" i="11"/>
  <c r="F19" i="11"/>
  <c r="H19" i="11"/>
  <c r="J19" i="11"/>
  <c r="K19" i="11"/>
  <c r="L19" i="11"/>
  <c r="M19" i="11"/>
  <c r="I19" i="11"/>
  <c r="P19" i="11"/>
  <c r="N19" i="11"/>
  <c r="O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AC19" i="11"/>
  <c r="AG19" i="11"/>
  <c r="AP19" i="11"/>
  <c r="A22" i="11"/>
  <c r="B22" i="11"/>
  <c r="B5" i="15"/>
  <c r="C5" i="15"/>
  <c r="C22" i="11"/>
  <c r="D22" i="11"/>
  <c r="E22" i="11"/>
  <c r="D5" i="15"/>
  <c r="F22" i="11"/>
  <c r="G22" i="11"/>
  <c r="E5" i="15"/>
  <c r="F5" i="15"/>
  <c r="H22" i="11"/>
  <c r="I22" i="11"/>
  <c r="G5" i="15"/>
  <c r="J22" i="11"/>
  <c r="Y22" i="11"/>
  <c r="Z22" i="11"/>
  <c r="AA22" i="11"/>
  <c r="AF22" i="11"/>
  <c r="A23" i="11"/>
  <c r="B23" i="11"/>
  <c r="B6" i="15"/>
  <c r="C6" i="15"/>
  <c r="C23" i="11"/>
  <c r="D23" i="11"/>
  <c r="E23" i="11"/>
  <c r="D6" i="15"/>
  <c r="F23" i="11"/>
  <c r="G23" i="11"/>
  <c r="E6" i="15"/>
  <c r="F6" i="15"/>
  <c r="H23" i="11"/>
  <c r="I23" i="11"/>
  <c r="G6" i="15"/>
  <c r="J23" i="11"/>
  <c r="Y23" i="11"/>
  <c r="Z23" i="11"/>
  <c r="AA23" i="11"/>
  <c r="AF23" i="11"/>
  <c r="A24" i="11"/>
  <c r="B24" i="11"/>
  <c r="B7" i="15"/>
  <c r="C7" i="15"/>
  <c r="C24" i="11"/>
  <c r="D24" i="11"/>
  <c r="E24" i="11"/>
  <c r="D7" i="15"/>
  <c r="F24" i="11"/>
  <c r="G24" i="11"/>
  <c r="E7" i="15"/>
  <c r="F7" i="15"/>
  <c r="H24" i="11"/>
  <c r="I24" i="11"/>
  <c r="G7" i="15"/>
  <c r="J24" i="11"/>
  <c r="Y24" i="11"/>
  <c r="Z24" i="11"/>
  <c r="AC24" i="11"/>
  <c r="L7" i="15"/>
  <c r="AA24" i="11"/>
  <c r="AD24" i="11"/>
  <c r="AB24" i="11"/>
  <c r="AG24" i="11"/>
  <c r="AF24" i="11"/>
  <c r="A25" i="11"/>
  <c r="B25" i="11"/>
  <c r="B8" i="15"/>
  <c r="C8" i="15"/>
  <c r="C25" i="11"/>
  <c r="D25" i="11"/>
  <c r="E25" i="11"/>
  <c r="D8" i="15"/>
  <c r="F25" i="11"/>
  <c r="G25" i="11"/>
  <c r="E8" i="15"/>
  <c r="F8" i="15"/>
  <c r="H25" i="11"/>
  <c r="I25" i="11"/>
  <c r="G8" i="15"/>
  <c r="J25" i="11"/>
  <c r="Y25" i="11"/>
  <c r="Z25" i="11"/>
  <c r="AA25" i="11"/>
  <c r="AF25" i="11"/>
  <c r="A32" i="11"/>
  <c r="B32" i="11"/>
  <c r="C32" i="11"/>
  <c r="D32" i="11"/>
  <c r="E32" i="11"/>
  <c r="F32" i="11"/>
  <c r="G32" i="11"/>
  <c r="H32" i="11"/>
  <c r="A1" i="15"/>
  <c r="A10" i="15"/>
  <c r="A1" i="3"/>
  <c r="F7" i="3"/>
  <c r="Q12" i="11"/>
  <c r="G7" i="3"/>
  <c r="H7" i="3"/>
  <c r="I7" i="3"/>
  <c r="Q13" i="11"/>
  <c r="J7" i="3"/>
  <c r="K7" i="3"/>
  <c r="L7" i="3"/>
  <c r="Q14" i="11"/>
  <c r="M7" i="3"/>
  <c r="N7" i="3"/>
  <c r="O7" i="3"/>
  <c r="Q15" i="11"/>
  <c r="P7" i="3"/>
  <c r="Q7" i="3"/>
  <c r="R7" i="3"/>
  <c r="Q16" i="11"/>
  <c r="S7" i="3"/>
  <c r="T7" i="3"/>
  <c r="U7" i="3"/>
  <c r="V7" i="3"/>
  <c r="W7" i="3"/>
  <c r="X7" i="3"/>
  <c r="Y7" i="3"/>
  <c r="Z7" i="3"/>
  <c r="AA7" i="3"/>
  <c r="AB7" i="3"/>
  <c r="AC7" i="3"/>
  <c r="F8" i="3"/>
  <c r="R12" i="11"/>
  <c r="G8" i="3"/>
  <c r="H8" i="3"/>
  <c r="I8" i="3"/>
  <c r="J8" i="3"/>
  <c r="K8" i="3"/>
  <c r="L8" i="3"/>
  <c r="R14" i="11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F9" i="3"/>
  <c r="S12" i="11"/>
  <c r="G9" i="3"/>
  <c r="H9" i="3"/>
  <c r="I9" i="3"/>
  <c r="S13" i="11"/>
  <c r="J9" i="3"/>
  <c r="K9" i="3"/>
  <c r="L9" i="3"/>
  <c r="S14" i="11"/>
  <c r="M9" i="3"/>
  <c r="N9" i="3"/>
  <c r="O9" i="3"/>
  <c r="S15" i="11"/>
  <c r="P9" i="3"/>
  <c r="Q9" i="3"/>
  <c r="R9" i="3"/>
  <c r="S16" i="11"/>
  <c r="S9" i="3"/>
  <c r="T9" i="3"/>
  <c r="U9" i="3"/>
  <c r="V9" i="3"/>
  <c r="W9" i="3"/>
  <c r="X9" i="3"/>
  <c r="Y9" i="3"/>
  <c r="Z9" i="3"/>
  <c r="AA9" i="3"/>
  <c r="AB9" i="3"/>
  <c r="AC9" i="3"/>
  <c r="F10" i="3"/>
  <c r="G10" i="3"/>
  <c r="H10" i="3"/>
  <c r="I10" i="3"/>
  <c r="T13" i="11"/>
  <c r="J10" i="3"/>
  <c r="K10" i="3"/>
  <c r="L10" i="3"/>
  <c r="T14" i="11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F11" i="3"/>
  <c r="G11" i="3"/>
  <c r="H11" i="3"/>
  <c r="I11" i="3"/>
  <c r="J11" i="3"/>
  <c r="K11" i="3"/>
  <c r="L11" i="3"/>
  <c r="U14" i="11"/>
  <c r="M11" i="3"/>
  <c r="N11" i="3"/>
  <c r="O11" i="3"/>
  <c r="U15" i="11"/>
  <c r="P11" i="3"/>
  <c r="Q11" i="3"/>
  <c r="R11" i="3"/>
  <c r="U16" i="11"/>
  <c r="S11" i="3"/>
  <c r="T11" i="3"/>
  <c r="U11" i="3"/>
  <c r="V11" i="3"/>
  <c r="W11" i="3"/>
  <c r="X11" i="3"/>
  <c r="Y11" i="3"/>
  <c r="Z11" i="3"/>
  <c r="AA11" i="3"/>
  <c r="AB11" i="3"/>
  <c r="AC11" i="3"/>
  <c r="F12" i="3"/>
  <c r="G12" i="3"/>
  <c r="H12" i="3"/>
  <c r="I12" i="3"/>
  <c r="J12" i="3"/>
  <c r="K12" i="3"/>
  <c r="L12" i="3"/>
  <c r="V14" i="11"/>
  <c r="M12" i="3"/>
  <c r="N12" i="3"/>
  <c r="O12" i="3"/>
  <c r="V15" i="11"/>
  <c r="P12" i="3"/>
  <c r="Q12" i="3"/>
  <c r="R12" i="3"/>
  <c r="V16" i="11"/>
  <c r="S12" i="3"/>
  <c r="T12" i="3"/>
  <c r="U12" i="3"/>
  <c r="V12" i="3"/>
  <c r="W12" i="3"/>
  <c r="X12" i="3"/>
  <c r="Y12" i="3"/>
  <c r="Z12" i="3"/>
  <c r="AA12" i="3"/>
  <c r="AB12" i="3"/>
  <c r="AC12" i="3"/>
  <c r="F13" i="3"/>
  <c r="W12" i="11"/>
  <c r="G13" i="3"/>
  <c r="H13" i="3"/>
  <c r="I13" i="3"/>
  <c r="W13" i="11"/>
  <c r="J13" i="3"/>
  <c r="K13" i="3"/>
  <c r="L13" i="3"/>
  <c r="W14" i="11"/>
  <c r="M13" i="3"/>
  <c r="N13" i="3"/>
  <c r="O13" i="3"/>
  <c r="W15" i="11"/>
  <c r="P13" i="3"/>
  <c r="Q13" i="3"/>
  <c r="R13" i="3"/>
  <c r="W16" i="11"/>
  <c r="S13" i="3"/>
  <c r="T13" i="3"/>
  <c r="U13" i="3"/>
  <c r="V13" i="3"/>
  <c r="W13" i="3"/>
  <c r="X13" i="3"/>
  <c r="Y13" i="3"/>
  <c r="Z13" i="3"/>
  <c r="AA13" i="3"/>
  <c r="AB13" i="3"/>
  <c r="AC13" i="3"/>
  <c r="F14" i="3"/>
  <c r="X12" i="11"/>
  <c r="G14" i="3"/>
  <c r="H14" i="3"/>
  <c r="I14" i="3"/>
  <c r="X13" i="11"/>
  <c r="J14" i="3"/>
  <c r="K14" i="3"/>
  <c r="L14" i="3"/>
  <c r="X14" i="11"/>
  <c r="M14" i="3"/>
  <c r="N14" i="3"/>
  <c r="O14" i="3"/>
  <c r="X15" i="11"/>
  <c r="P14" i="3"/>
  <c r="Q14" i="3"/>
  <c r="R14" i="3"/>
  <c r="X16" i="11"/>
  <c r="S14" i="3"/>
  <c r="T14" i="3"/>
  <c r="U14" i="3"/>
  <c r="V14" i="3"/>
  <c r="W14" i="3"/>
  <c r="X14" i="3"/>
  <c r="Y14" i="3"/>
  <c r="Z14" i="3"/>
  <c r="AA14" i="3"/>
  <c r="AB14" i="3"/>
  <c r="AC14" i="3"/>
  <c r="AD14" i="3"/>
  <c r="F15" i="3"/>
  <c r="Y12" i="11"/>
  <c r="G15" i="3"/>
  <c r="H15" i="3"/>
  <c r="I15" i="3"/>
  <c r="Y13" i="11"/>
  <c r="J15" i="3"/>
  <c r="K15" i="3"/>
  <c r="L15" i="3"/>
  <c r="Y14" i="11"/>
  <c r="M15" i="3"/>
  <c r="N15" i="3"/>
  <c r="O15" i="3"/>
  <c r="Y15" i="11"/>
  <c r="P15" i="3"/>
  <c r="Q15" i="3"/>
  <c r="R15" i="3"/>
  <c r="Y16" i="11"/>
  <c r="S15" i="3"/>
  <c r="T15" i="3"/>
  <c r="U15" i="3"/>
  <c r="V15" i="3"/>
  <c r="W15" i="3"/>
  <c r="X15" i="3"/>
  <c r="Y15" i="3"/>
  <c r="Z15" i="3"/>
  <c r="AA15" i="3"/>
  <c r="AB15" i="3"/>
  <c r="AC15" i="3"/>
  <c r="AD15" i="3"/>
  <c r="F16" i="3"/>
  <c r="Z12" i="11"/>
  <c r="G16" i="3"/>
  <c r="H16" i="3"/>
  <c r="I16" i="3"/>
  <c r="Z13" i="11"/>
  <c r="J16" i="3"/>
  <c r="K16" i="3"/>
  <c r="L16" i="3"/>
  <c r="Z14" i="11"/>
  <c r="M16" i="3"/>
  <c r="N16" i="3"/>
  <c r="O16" i="3"/>
  <c r="Z15" i="11"/>
  <c r="P16" i="3"/>
  <c r="Q16" i="3"/>
  <c r="R16" i="3"/>
  <c r="Z16" i="11"/>
  <c r="S16" i="3"/>
  <c r="T16" i="3"/>
  <c r="U16" i="3"/>
  <c r="V16" i="3"/>
  <c r="W16" i="3"/>
  <c r="X16" i="3"/>
  <c r="Y16" i="3"/>
  <c r="Z16" i="3"/>
  <c r="AA16" i="3"/>
  <c r="AB16" i="3"/>
  <c r="AC16" i="3"/>
  <c r="AD16" i="3"/>
  <c r="F17" i="3"/>
  <c r="AA12" i="11"/>
  <c r="G17" i="3"/>
  <c r="H17" i="3"/>
  <c r="I17" i="3"/>
  <c r="J17" i="3"/>
  <c r="K17" i="3"/>
  <c r="L17" i="3"/>
  <c r="AA14" i="11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F18" i="3"/>
  <c r="AB12" i="11"/>
  <c r="G18" i="3"/>
  <c r="H18" i="3"/>
  <c r="I18" i="3"/>
  <c r="AB13" i="11"/>
  <c r="J18" i="3"/>
  <c r="K18" i="3"/>
  <c r="L18" i="3"/>
  <c r="AB14" i="11"/>
  <c r="M18" i="3"/>
  <c r="N18" i="3"/>
  <c r="O18" i="3"/>
  <c r="AB15" i="11"/>
  <c r="P18" i="3"/>
  <c r="Q18" i="3"/>
  <c r="R18" i="3"/>
  <c r="AB16" i="11"/>
  <c r="S18" i="3"/>
  <c r="T18" i="3"/>
  <c r="U18" i="3"/>
  <c r="V18" i="3"/>
  <c r="W18" i="3"/>
  <c r="X18" i="3"/>
  <c r="Y18" i="3"/>
  <c r="Z18" i="3"/>
  <c r="AA18" i="3"/>
  <c r="AB18" i="3"/>
  <c r="AC18" i="3"/>
  <c r="F19" i="3"/>
  <c r="AC12" i="11"/>
  <c r="G19" i="3"/>
  <c r="H19" i="3"/>
  <c r="I19" i="3"/>
  <c r="AC13" i="11"/>
  <c r="J19" i="3"/>
  <c r="K19" i="3"/>
  <c r="L19" i="3"/>
  <c r="AC14" i="11"/>
  <c r="M19" i="3"/>
  <c r="N19" i="3"/>
  <c r="O19" i="3"/>
  <c r="AC15" i="11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B1" i="6"/>
  <c r="D1" i="6"/>
  <c r="F1" i="6"/>
  <c r="H1" i="6"/>
  <c r="J1" i="6"/>
  <c r="L1" i="6"/>
  <c r="N1" i="6"/>
  <c r="P1" i="6"/>
  <c r="B3" i="6"/>
  <c r="B6" i="6"/>
  <c r="D3" i="6"/>
  <c r="F3" i="6"/>
  <c r="H3" i="6"/>
  <c r="H6" i="6"/>
  <c r="J3" i="6"/>
  <c r="J6" i="6"/>
  <c r="L3" i="6"/>
  <c r="L6" i="6"/>
  <c r="N3" i="6"/>
  <c r="N6" i="6"/>
  <c r="P3" i="6"/>
  <c r="P6" i="6"/>
  <c r="L4" i="6"/>
  <c r="N4" i="6"/>
  <c r="P4" i="6"/>
  <c r="D6" i="6"/>
  <c r="F6" i="6"/>
  <c r="A1" i="10"/>
  <c r="R16" i="11"/>
  <c r="AA16" i="11"/>
  <c r="AC16" i="11"/>
  <c r="T16" i="11"/>
  <c r="AA15" i="11"/>
  <c r="R15" i="11"/>
  <c r="AG15" i="11"/>
  <c r="T15" i="11"/>
  <c r="U13" i="11"/>
  <c r="AA13" i="11"/>
  <c r="R13" i="11"/>
  <c r="V13" i="11"/>
  <c r="AG13" i="11"/>
  <c r="T12" i="11"/>
  <c r="V12" i="11"/>
  <c r="U12" i="11"/>
  <c r="AG16" i="11"/>
  <c r="AG14" i="11"/>
  <c r="AG12" i="11"/>
  <c r="E17" i="11"/>
  <c r="A3" i="15"/>
  <c r="B5" i="11"/>
  <c r="G18" i="11"/>
  <c r="AO18" i="11"/>
  <c r="G17" i="11"/>
  <c r="AO17" i="11"/>
  <c r="E18" i="11"/>
  <c r="AL12" i="11"/>
  <c r="AD12" i="11"/>
  <c r="B4" i="6"/>
  <c r="F5" i="3"/>
  <c r="D4" i="6"/>
  <c r="I5" i="3"/>
  <c r="AL13" i="11"/>
  <c r="F4" i="6"/>
  <c r="L5" i="3"/>
  <c r="AL14" i="11"/>
  <c r="AL15" i="11"/>
  <c r="AD15" i="11"/>
  <c r="H4" i="6"/>
  <c r="O5" i="3"/>
  <c r="J4" i="6"/>
  <c r="R5" i="3"/>
  <c r="AL16" i="11"/>
  <c r="AD16" i="11"/>
  <c r="U5" i="3"/>
  <c r="AK17" i="11"/>
  <c r="AD17" i="11"/>
  <c r="AF17" i="11"/>
  <c r="AL17" i="11"/>
  <c r="AL18" i="11"/>
  <c r="AK18" i="11"/>
  <c r="AD18" i="11"/>
  <c r="AF18" i="11"/>
  <c r="X5" i="3"/>
  <c r="E19" i="11"/>
  <c r="G19" i="11"/>
  <c r="AO19" i="11"/>
  <c r="AL19" i="11"/>
  <c r="AK19" i="11"/>
  <c r="AD19" i="11"/>
  <c r="AF19" i="11"/>
  <c r="AA5" i="3"/>
  <c r="L22" i="11"/>
  <c r="U22" i="11"/>
  <c r="N22" i="11"/>
  <c r="R22" i="11"/>
  <c r="S22" i="11"/>
  <c r="AF12" i="11"/>
  <c r="V22" i="11"/>
  <c r="W22" i="11"/>
  <c r="K5" i="15"/>
  <c r="M22" i="11"/>
  <c r="T22" i="11"/>
  <c r="K22" i="11"/>
  <c r="AK12" i="11"/>
  <c r="AD13" i="11"/>
  <c r="AK13" i="11"/>
  <c r="AK14" i="11"/>
  <c r="AK15" i="11"/>
  <c r="AK16" i="11"/>
  <c r="F1" i="11"/>
  <c r="AD14" i="11"/>
  <c r="AF14" i="11"/>
  <c r="O22" i="11"/>
  <c r="P22" i="11"/>
  <c r="I5" i="15"/>
  <c r="AB22" i="11"/>
  <c r="M23" i="11"/>
  <c r="R23" i="11"/>
  <c r="S23" i="11"/>
  <c r="V23" i="11"/>
  <c r="W23" i="11"/>
  <c r="K6" i="15"/>
  <c r="K23" i="11"/>
  <c r="N23" i="11"/>
  <c r="U23" i="11"/>
  <c r="L23" i="11"/>
  <c r="T23" i="11"/>
  <c r="R24" i="11"/>
  <c r="N24" i="11"/>
  <c r="W24" i="11"/>
  <c r="K7" i="15"/>
  <c r="P24" i="11"/>
  <c r="I7" i="15"/>
  <c r="T24" i="11"/>
  <c r="U24" i="11"/>
  <c r="S24" i="11"/>
  <c r="L24" i="11"/>
  <c r="K24" i="11"/>
  <c r="M24" i="11"/>
  <c r="O24" i="11"/>
  <c r="X24" i="11"/>
  <c r="Q24" i="11"/>
  <c r="V24" i="11"/>
  <c r="N25" i="11"/>
  <c r="T25" i="11"/>
  <c r="R25" i="11"/>
  <c r="L25" i="11"/>
  <c r="M25" i="11"/>
  <c r="S25" i="11"/>
  <c r="U25" i="11"/>
  <c r="K25" i="11"/>
  <c r="F4" i="3"/>
  <c r="A8" i="11"/>
  <c r="B20" i="6"/>
  <c r="B8" i="11"/>
  <c r="D20" i="6"/>
  <c r="I4" i="3"/>
  <c r="L4" i="3"/>
  <c r="L20" i="3"/>
  <c r="C8" i="11"/>
  <c r="F20" i="6"/>
  <c r="O4" i="3"/>
  <c r="O20" i="3"/>
  <c r="D8" i="11"/>
  <c r="H20" i="6"/>
  <c r="R4" i="3"/>
  <c r="R20" i="3"/>
  <c r="E8" i="11"/>
  <c r="J20" i="6"/>
  <c r="U4" i="3"/>
  <c r="U20" i="3"/>
  <c r="F8" i="11"/>
  <c r="L20" i="6"/>
  <c r="G8" i="11"/>
  <c r="N20" i="6"/>
  <c r="X4" i="3"/>
  <c r="X20" i="3"/>
  <c r="AA4" i="3"/>
  <c r="AA20" i="3"/>
  <c r="H8" i="11"/>
  <c r="P20" i="6"/>
  <c r="AM18" i="11"/>
  <c r="AN18" i="11"/>
  <c r="AH12" i="11"/>
  <c r="AH13" i="11"/>
  <c r="AH14" i="11"/>
  <c r="AH15" i="11"/>
  <c r="AH16" i="11"/>
  <c r="AH17" i="11"/>
  <c r="AH18" i="11"/>
  <c r="AH19" i="11"/>
  <c r="AM17" i="11"/>
  <c r="AN17" i="11"/>
  <c r="H5" i="15"/>
  <c r="J5" i="15"/>
  <c r="AD22" i="11"/>
  <c r="AC22" i="11"/>
  <c r="L5" i="15"/>
  <c r="AG22" i="11"/>
  <c r="H7" i="15"/>
  <c r="J7" i="15"/>
  <c r="E4" i="3"/>
  <c r="A4" i="3"/>
  <c r="F20" i="3"/>
  <c r="A20" i="3"/>
  <c r="C19" i="3"/>
  <c r="B19" i="3"/>
  <c r="C18" i="3"/>
  <c r="B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AM19" i="11"/>
  <c r="AN19" i="11"/>
  <c r="AF15" i="11"/>
  <c r="O25" i="11"/>
  <c r="P25" i="11"/>
  <c r="AF16" i="11"/>
  <c r="V25" i="11"/>
  <c r="W25" i="11"/>
  <c r="K8" i="15"/>
  <c r="I9" i="15"/>
  <c r="I8" i="15"/>
  <c r="AB25" i="11"/>
  <c r="AG25" i="11"/>
  <c r="AD25" i="11"/>
  <c r="AC25" i="11"/>
  <c r="L8" i="15"/>
  <c r="AE12" i="11"/>
  <c r="AI12" i="11"/>
  <c r="I20" i="3"/>
  <c r="AE19" i="11"/>
  <c r="AI19" i="11"/>
  <c r="AE17" i="11"/>
  <c r="AI17" i="11"/>
  <c r="AE15" i="11"/>
  <c r="AI15" i="11"/>
  <c r="AE18" i="11"/>
  <c r="AI18" i="11"/>
  <c r="AE16" i="11"/>
  <c r="AI16" i="11"/>
  <c r="AE14" i="11"/>
  <c r="AI14" i="11"/>
  <c r="AF13" i="11"/>
  <c r="O23" i="11"/>
  <c r="P23" i="11"/>
  <c r="AE13" i="11"/>
  <c r="AI13" i="11"/>
  <c r="H8" i="15"/>
  <c r="J8" i="15"/>
  <c r="AJ13" i="11"/>
  <c r="Q23" i="11"/>
  <c r="AB23" i="11"/>
  <c r="AD23" i="11"/>
  <c r="AC23" i="11"/>
  <c r="L6" i="15"/>
  <c r="I6" i="15"/>
  <c r="AJ16" i="11"/>
  <c r="X25" i="11"/>
  <c r="AJ18" i="11"/>
  <c r="AJ12" i="11"/>
  <c r="AJ19" i="11"/>
  <c r="AJ17" i="11"/>
  <c r="AJ15" i="11"/>
  <c r="Q25" i="11"/>
  <c r="AJ14" i="11"/>
  <c r="Q22" i="11"/>
  <c r="E12" i="11"/>
  <c r="E14" i="11"/>
  <c r="E16" i="11"/>
  <c r="E15" i="11"/>
  <c r="AG23" i="11"/>
  <c r="G13" i="11"/>
  <c r="AO13" i="11"/>
  <c r="E13" i="11"/>
  <c r="J6" i="15"/>
  <c r="H6" i="15"/>
  <c r="X22" i="11"/>
  <c r="X23" i="11"/>
  <c r="AM13" i="11"/>
  <c r="G14" i="11"/>
  <c r="G16" i="11"/>
  <c r="G12" i="11"/>
  <c r="G15" i="11"/>
  <c r="AN13" i="11"/>
  <c r="AM12" i="11"/>
  <c r="AP13" i="11"/>
  <c r="AP12" i="11"/>
  <c r="AM14" i="11"/>
  <c r="AP14" i="11"/>
  <c r="AM15" i="11"/>
  <c r="AP15" i="11"/>
  <c r="AM16" i="11"/>
  <c r="AP16" i="11"/>
  <c r="AQ13" i="11"/>
  <c r="AO14" i="11"/>
  <c r="AO16" i="11"/>
  <c r="AO12" i="11"/>
  <c r="AO15" i="11"/>
  <c r="AN14" i="11"/>
  <c r="AN16" i="11"/>
  <c r="AN12" i="11"/>
  <c r="AQ15" i="11"/>
  <c r="AN15" i="11"/>
  <c r="AQ19" i="11"/>
  <c r="AQ17" i="11"/>
  <c r="AS19" i="11"/>
  <c r="AT18" i="11"/>
  <c r="AT17" i="11"/>
  <c r="AQ12" i="11"/>
  <c r="AQ14" i="11"/>
  <c r="AQ16" i="11"/>
  <c r="AQ18" i="11"/>
  <c r="AT15" i="11"/>
  <c r="AV19" i="11"/>
  <c r="AU18" i="11"/>
  <c r="AY17" i="11"/>
  <c r="AS17" i="11"/>
  <c r="AX19" i="11"/>
  <c r="AY18" i="11"/>
  <c r="AS18" i="11"/>
  <c r="AW17" i="11"/>
  <c r="AU16" i="11"/>
  <c r="AU15" i="11"/>
  <c r="AT19" i="11"/>
  <c r="AX18" i="11"/>
  <c r="AR18" i="11"/>
  <c r="AV17" i="11"/>
  <c r="AW19" i="11"/>
  <c r="AR19" i="11"/>
  <c r="AV18" i="11"/>
  <c r="AU17" i="11"/>
  <c r="AY19" i="11"/>
  <c r="AU19" i="11"/>
  <c r="AW18" i="11"/>
  <c r="AX17" i="11"/>
  <c r="AR17" i="11"/>
  <c r="AS12" i="11"/>
  <c r="AT16" i="11"/>
  <c r="AV16" i="11"/>
  <c r="AX15" i="11"/>
  <c r="AX16" i="11"/>
  <c r="AS16" i="11"/>
  <c r="AW15" i="11"/>
  <c r="AY16" i="11"/>
  <c r="AW16" i="11"/>
  <c r="AR16" i="11"/>
  <c r="AY15" i="11"/>
  <c r="AS15" i="11"/>
  <c r="AV15" i="11"/>
  <c r="AR15" i="11"/>
  <c r="AW13" i="11"/>
  <c r="AX12" i="11"/>
  <c r="AW12" i="11"/>
  <c r="AW14" i="11"/>
  <c r="AX13" i="11"/>
  <c r="AR13" i="11"/>
  <c r="AY12" i="11"/>
  <c r="AU12" i="11"/>
  <c r="AV14" i="11"/>
  <c r="AY13" i="11"/>
  <c r="AV12" i="11"/>
  <c r="AT14" i="11"/>
  <c r="AU13" i="11"/>
  <c r="AR14" i="11"/>
  <c r="AX14" i="11"/>
  <c r="AV13" i="11"/>
  <c r="AS13" i="11"/>
  <c r="AT12" i="11"/>
  <c r="AU14" i="11"/>
  <c r="AR12" i="11"/>
  <c r="AT13" i="11"/>
  <c r="AY14" i="11"/>
  <c r="AS14" i="11"/>
</calcChain>
</file>

<file path=xl/sharedStrings.xml><?xml version="1.0" encoding="utf-8"?>
<sst xmlns="http://schemas.openxmlformats.org/spreadsheetml/2006/main" count="314" uniqueCount="136">
  <si>
    <t>-</t>
  </si>
  <si>
    <t>X</t>
  </si>
  <si>
    <t>Signatur</t>
  </si>
  <si>
    <t>Point</t>
  </si>
  <si>
    <t>Rundens reservescore:</t>
  </si>
  <si>
    <t>Opstillingsfejl - lørdag kl. 14.00</t>
  </si>
  <si>
    <t>Klagefrister:</t>
  </si>
  <si>
    <t>Hjemmehold</t>
  </si>
  <si>
    <t>Udehold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</si>
  <si>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</si>
  <si>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</si>
  <si>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</si>
  <si>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</si>
  <si>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</si>
  <si>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</si>
  <si>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</si>
  <si>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</si>
  <si>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</si>
  <si>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</si>
  <si>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</si>
  <si>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</si>
  <si>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</si>
  <si>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</si>
  <si>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>År:</t>
  </si>
  <si>
    <t>Res</t>
  </si>
  <si>
    <t>ID</t>
  </si>
  <si>
    <t xml:space="preserve"> </t>
  </si>
  <si>
    <t>1X2</t>
  </si>
  <si>
    <t>Regnefejl - 3 uger</t>
  </si>
  <si>
    <t>Runde F:</t>
  </si>
  <si>
    <t>Runde N:</t>
  </si>
  <si>
    <t>Res N:</t>
  </si>
  <si>
    <t>Tal F:</t>
  </si>
  <si>
    <t>Tal N:</t>
  </si>
  <si>
    <t>Opd.?</t>
  </si>
  <si>
    <t>Deltager</t>
  </si>
  <si>
    <t>Kamp 0</t>
  </si>
  <si>
    <t>Kamp 1</t>
  </si>
  <si>
    <t>Kamp 2</t>
  </si>
  <si>
    <t>Kamp 3</t>
  </si>
  <si>
    <t>Kamp 4</t>
  </si>
  <si>
    <t>Kamp 5</t>
  </si>
  <si>
    <t>Kamp 6</t>
  </si>
  <si>
    <t>Kamp 7</t>
  </si>
  <si>
    <t>Kamp 8</t>
  </si>
  <si>
    <t>Kamp 9</t>
  </si>
  <si>
    <t>Kamp 10</t>
  </si>
  <si>
    <t>Kamp 11</t>
  </si>
  <si>
    <t>Kamp 12</t>
  </si>
  <si>
    <t>Kamp 13</t>
  </si>
  <si>
    <t>Total</t>
  </si>
  <si>
    <t>ES N</t>
  </si>
  <si>
    <t>BU</t>
  </si>
  <si>
    <t>T Pl.</t>
  </si>
  <si>
    <t>P Pl.</t>
  </si>
  <si>
    <t>BU Pl.</t>
  </si>
  <si>
    <t>Dis F</t>
  </si>
  <si>
    <t>Dis E</t>
  </si>
  <si>
    <t>Udm F</t>
  </si>
  <si>
    <t>Udm E</t>
  </si>
  <si>
    <t>MR F</t>
  </si>
  <si>
    <t>MR E</t>
  </si>
  <si>
    <t>Res F</t>
  </si>
  <si>
    <t>Res E</t>
  </si>
  <si>
    <t>MR</t>
  </si>
  <si>
    <t>2. runde</t>
  </si>
  <si>
    <t>Kval</t>
  </si>
  <si>
    <t>Dis</t>
  </si>
  <si>
    <t>Udm</t>
  </si>
  <si>
    <t>ID E</t>
  </si>
  <si>
    <t>Deltager E</t>
  </si>
  <si>
    <t>2. runde F</t>
  </si>
  <si>
    <t>2. runde E</t>
  </si>
  <si>
    <t>Kval F</t>
  </si>
  <si>
    <t>Kval E</t>
  </si>
  <si>
    <t>H S</t>
  </si>
  <si>
    <t>H G</t>
  </si>
  <si>
    <t>H ID</t>
  </si>
  <si>
    <t>U S</t>
  </si>
  <si>
    <t>U G</t>
  </si>
  <si>
    <t>U ID</t>
  </si>
  <si>
    <t>Vinder</t>
  </si>
  <si>
    <t>ES H</t>
  </si>
  <si>
    <t>BU H</t>
  </si>
  <si>
    <t>ES U</t>
  </si>
  <si>
    <t>BU U</t>
  </si>
  <si>
    <t>V S</t>
  </si>
  <si>
    <t>V G</t>
  </si>
  <si>
    <t>V ID</t>
  </si>
  <si>
    <t>Dis H</t>
  </si>
  <si>
    <t>Udm H</t>
  </si>
  <si>
    <t>MR H</t>
  </si>
  <si>
    <t>Res H</t>
  </si>
  <si>
    <t>Udm U</t>
  </si>
  <si>
    <t>MR U</t>
  </si>
  <si>
    <t>Res U</t>
  </si>
  <si>
    <t>Dis U</t>
  </si>
  <si>
    <t>ES UR</t>
  </si>
  <si>
    <t>ES HR</t>
  </si>
  <si>
    <t>K1 ES H</t>
  </si>
  <si>
    <t>K1 BU H</t>
  </si>
  <si>
    <t>K1 ES U</t>
  </si>
  <si>
    <t>K1 BU U</t>
  </si>
  <si>
    <t>V G F</t>
  </si>
  <si>
    <t>V ID F</t>
  </si>
  <si>
    <t>V S F</t>
  </si>
  <si>
    <t>Ude E</t>
  </si>
  <si>
    <t>Ude F</t>
  </si>
  <si>
    <t>Runde E:</t>
  </si>
  <si>
    <t>Stevenage</t>
  </si>
  <si>
    <t>x</t>
  </si>
  <si>
    <t>Blackburn</t>
  </si>
  <si>
    <t>Bristol C</t>
  </si>
  <si>
    <t>Swansea</t>
  </si>
  <si>
    <t>Fulham</t>
  </si>
  <si>
    <t>Southampton</t>
  </si>
  <si>
    <t>Queens Park R</t>
  </si>
  <si>
    <t>Birmingham</t>
  </si>
  <si>
    <t>Wrexham</t>
  </si>
  <si>
    <t>Arsenal</t>
  </si>
  <si>
    <t>Coventry</t>
  </si>
  <si>
    <t>Cardiff</t>
  </si>
  <si>
    <t>Lincoln</t>
  </si>
  <si>
    <t>Preston</t>
  </si>
  <si>
    <t>West Ham</t>
  </si>
  <si>
    <t>Stoke</t>
  </si>
  <si>
    <t>Wolverhampton</t>
  </si>
  <si>
    <t>Blackpool</t>
  </si>
  <si>
    <t>AFC Wimbledon</t>
  </si>
  <si>
    <t>Everton</t>
  </si>
  <si>
    <t>Burnley</t>
  </si>
  <si>
    <t>West Bromwich</t>
  </si>
  <si>
    <t>Watford</t>
  </si>
  <si>
    <t>Mansfield</t>
  </si>
  <si>
    <t>Milton Keynes Dons</t>
  </si>
  <si>
    <t>Wycombe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</si>
</sst>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right" vertical="center"/>
    </xf>
    <xf numFmtId="0" fontId="5" fillId="0" borderId="9" xfId="0" applyFont="1" applyBorder="1" applyAlignment="1" applyProtection="1">
      <alignment horizontal="left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7" xfId="0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 textRotation="9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center" vertical="center"/>
    </xf>
    <xf numFmtId="0" fontId="1" fillId="0" borderId="29" xfId="0" applyFont="1" applyBorder="1" applyAlignment="1" applyProtection="1">
      <alignment horizontal="center" vertical="center" textRotation="90"/>
    </xf>
    <xf numFmtId="0" fontId="1" fillId="0" borderId="30" xfId="0" applyFont="1" applyBorder="1" applyAlignment="1" applyProtection="1">
      <alignment horizontal="center" vertical="center" textRotation="90"/>
    </xf>
    <xf numFmtId="0" fontId="1" fillId="0" borderId="26" xfId="0" applyFont="1" applyBorder="1" applyAlignment="1" applyProtection="1">
      <alignment horizontal="center" vertical="center" textRotation="90"/>
    </xf>
    <xf numFmtId="0" fontId="1" fillId="0" borderId="27" xfId="0" applyFont="1" applyBorder="1" applyAlignment="1" applyProtection="1">
      <alignment horizontal="right" vertical="center"/>
    </xf>
    <xf numFmtId="0" fontId="0" fillId="0" borderId="25" xfId="0" applyBorder="1" applyAlignment="1" applyProtection="1">
      <alignment horizontal="righ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textRotation="90"/>
    </xf>
    <xf numFmtId="0" fontId="5" fillId="0" borderId="1" xfId="0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11" fillId="0" borderId="30" xfId="0" applyFont="1" applyBorder="1" applyAlignment="1" applyProtection="1">
      <alignment horizontal="center" vertical="center"/>
    </xf>
    <xf numFmtId="0" fontId="11" fillId="0" borderId="26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externalLink" Target="externalLinks/externalLink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externalLink" Target="externalLinks/externalLink1.xml" /><Relationship Id="rId11" Type="http://schemas.openxmlformats.org/officeDocument/2006/relationships/calcChain" Target="calcChain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uni-it/Dropbox/Lunds%20Tipsforening/Grand%20Prix%20-%202026/Runde%2024%20-%20Kvartfinaler%20K1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uni-it/Dropbox/Lunds%20Tipsforening/Grand%20Prix%20-%202026/Runde%2001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vartfinaler"/>
      <sheetName val="Kampe"/>
      <sheetName val="Rækker"/>
      <sheetName val="Rækker - Udskrift"/>
      <sheetName val="Resultater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2026</v>
          </cell>
        </row>
        <row r="2">
          <cell r="D2" t="str">
            <v>4. runde</v>
          </cell>
        </row>
        <row r="3">
          <cell r="B3">
            <v>24</v>
          </cell>
        </row>
        <row r="4">
          <cell r="D4" t="str">
            <v>Kvartfinaler</v>
          </cell>
        </row>
        <row r="5">
          <cell r="B5">
            <v>24</v>
          </cell>
          <cell r="C5">
            <v>1</v>
          </cell>
        </row>
        <row r="12">
          <cell r="AS12" t="str">
            <v>Benbo</v>
          </cell>
          <cell r="AT12">
            <v>2</v>
          </cell>
          <cell r="AU12">
            <v>0</v>
          </cell>
          <cell r="AV12">
            <v>2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</row>
        <row r="13">
          <cell r="AS13" t="str">
            <v>Frydkær</v>
          </cell>
          <cell r="AT13">
            <v>1</v>
          </cell>
          <cell r="AU13">
            <v>0</v>
          </cell>
          <cell r="AV13">
            <v>1</v>
          </cell>
          <cell r="AW13">
            <v>0</v>
          </cell>
          <cell r="AX13">
            <v>0</v>
          </cell>
          <cell r="AY13">
            <v>0</v>
          </cell>
          <cell r="AZ13">
            <v>1</v>
          </cell>
        </row>
        <row r="14">
          <cell r="AS14" t="str">
            <v>Idskov</v>
          </cell>
          <cell r="AT14">
            <v>1</v>
          </cell>
          <cell r="AU14">
            <v>0</v>
          </cell>
          <cell r="AV14">
            <v>1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</row>
        <row r="15">
          <cell r="AS15" t="str">
            <v>LPHJ</v>
          </cell>
          <cell r="AT15">
            <v>2</v>
          </cell>
          <cell r="AU15">
            <v>1</v>
          </cell>
          <cell r="AV15">
            <v>1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</row>
        <row r="16">
          <cell r="AS16" t="str">
            <v>Robbo</v>
          </cell>
          <cell r="AT16">
            <v>1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</row>
        <row r="17">
          <cell r="AS17" t="str">
            <v/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</row>
        <row r="18">
          <cell r="AS18" t="str">
            <v/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</row>
        <row r="19">
          <cell r="AS19" t="str">
            <v/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</row>
        <row r="22">
          <cell r="A22" t="str">
            <v>Idskov</v>
          </cell>
          <cell r="B22" t="str">
            <v>Idskov (1)</v>
          </cell>
          <cell r="C22">
            <v>85</v>
          </cell>
          <cell r="D22" t="str">
            <v>Benbo</v>
          </cell>
          <cell r="E22" t="str">
            <v>Benbo (8)</v>
          </cell>
          <cell r="F22">
            <v>96</v>
          </cell>
          <cell r="L22">
            <v>8</v>
          </cell>
          <cell r="M22">
            <v>6</v>
          </cell>
          <cell r="S22">
            <v>9</v>
          </cell>
          <cell r="T22">
            <v>7</v>
          </cell>
          <cell r="U22" t="str">
            <v/>
          </cell>
          <cell r="V22" t="str">
            <v/>
          </cell>
          <cell r="W22" t="str">
            <v/>
          </cell>
          <cell r="Y22" t="str">
            <v/>
          </cell>
        </row>
        <row r="23">
          <cell r="A23" t="str">
            <v>Frydkær</v>
          </cell>
          <cell r="B23" t="str">
            <v>Frydkær (11)</v>
          </cell>
          <cell r="C23">
            <v>91</v>
          </cell>
          <cell r="D23" t="str">
            <v>Benbo</v>
          </cell>
          <cell r="E23" t="str">
            <v>Benbo (16)</v>
          </cell>
          <cell r="F23">
            <v>95</v>
          </cell>
          <cell r="L23">
            <v>9</v>
          </cell>
          <cell r="M23">
            <v>7</v>
          </cell>
          <cell r="S23">
            <v>9</v>
          </cell>
          <cell r="T23">
            <v>7</v>
          </cell>
          <cell r="U23" t="str">
            <v/>
          </cell>
          <cell r="V23" t="str">
            <v/>
          </cell>
          <cell r="W23" t="str">
            <v/>
          </cell>
          <cell r="Y23" t="str">
            <v/>
          </cell>
        </row>
        <row r="24">
          <cell r="A24" t="str">
            <v>LPHJ</v>
          </cell>
          <cell r="B24" t="str">
            <v>LPHJ (4)</v>
          </cell>
          <cell r="C24">
            <v>56</v>
          </cell>
          <cell r="D24" t="str">
            <v>LPHJ</v>
          </cell>
          <cell r="E24" t="str">
            <v>LPHJ (6)</v>
          </cell>
          <cell r="F24">
            <v>50</v>
          </cell>
          <cell r="L24" t="str">
            <v/>
          </cell>
          <cell r="M24">
            <v>4</v>
          </cell>
          <cell r="S24" t="str">
            <v/>
          </cell>
          <cell r="T24">
            <v>4</v>
          </cell>
          <cell r="U24" t="str">
            <v>LPHJ</v>
          </cell>
          <cell r="V24" t="str">
            <v>LPHJ (4)</v>
          </cell>
          <cell r="W24">
            <v>56</v>
          </cell>
          <cell r="Y24" t="str">
            <v>LPHJ</v>
          </cell>
        </row>
        <row r="25">
          <cell r="A25" t="str">
            <v>LPHJ</v>
          </cell>
          <cell r="B25" t="str">
            <v>LPHJ (10)</v>
          </cell>
          <cell r="C25">
            <v>56</v>
          </cell>
          <cell r="D25" t="str">
            <v>Robbo</v>
          </cell>
          <cell r="E25" t="str">
            <v>Robbo (2)</v>
          </cell>
          <cell r="F25">
            <v>51</v>
          </cell>
          <cell r="L25">
            <v>8</v>
          </cell>
          <cell r="M25">
            <v>4</v>
          </cell>
          <cell r="S25">
            <v>8</v>
          </cell>
          <cell r="T25">
            <v>4</v>
          </cell>
          <cell r="U25" t="str">
            <v/>
          </cell>
          <cell r="V25" t="str">
            <v/>
          </cell>
          <cell r="W25" t="str">
            <v/>
          </cell>
          <cell r="Y25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Puljeinddeling"/>
      <sheetName val="Program"/>
      <sheetName val="1. runde"/>
      <sheetName val="Kampe"/>
      <sheetName val="Rækker"/>
      <sheetName val="Rækker - Udskrift"/>
      <sheetName val="Stillingen - Pulje 1-8"/>
      <sheetName val="Stillingen - Pulje 9-16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H1" t="str">
            <v>Grand Prix-række afgives til Bjarne Villadsen</v>
          </cell>
        </row>
        <row r="2">
          <cell r="H2" t="str">
            <v>Senest Onsdag kl. 23.00 i næste kampuge</v>
          </cell>
        </row>
        <row r="3">
          <cell r="H3" t="str">
            <v>på tlf.: 20 46 98 75 eller på email: lundstipsforening@gmail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AF4E-41C2-4AA3-A0E2-34A71CBB5C94}">
  <dimension ref="A1:E21"/>
  <sheetViews>
    <sheetView showGridLines="0" workbookViewId="0">
      <selection activeCell="D5" sqref="D5:D17"/>
    </sheetView>
  </sheetViews>
  <sheetFormatPr defaultColWidth="9.16796875" defaultRowHeight="12.75" x14ac:dyDescent="0.15"/>
  <cols>
    <col min="1" max="1" width="3.50390625" style="4" bestFit="1" customWidth="1"/>
    <col min="2" max="2" width="17.93359375" style="12" customWidth="1"/>
    <col min="3" max="3" width="1.6171875" style="6" bestFit="1" customWidth="1"/>
    <col min="4" max="4" width="17.93359375" style="12" customWidth="1"/>
    <col min="5" max="5" width="3.50390625" style="6" customWidth="1"/>
    <col min="6" max="16384" width="9.16796875" style="12"/>
  </cols>
  <sheetData>
    <row r="1" spans="1:5" ht="13.5" thickTop="1" x14ac:dyDescent="0.15">
      <c r="A1" s="119" t="str">
        <f>CONCATENATE("Kampe - ",DB!D5)</f>
        <v>Kampe - Kvartfinaler, Kamp 2</v>
      </c>
      <c r="B1" s="120"/>
      <c r="C1" s="120"/>
      <c r="D1" s="120"/>
      <c r="E1" s="121"/>
    </row>
    <row r="2" spans="1:5" ht="13.5" thickBot="1" x14ac:dyDescent="0.2">
      <c r="A2" s="122"/>
      <c r="B2" s="123"/>
      <c r="C2" s="123"/>
      <c r="D2" s="123"/>
      <c r="E2" s="124"/>
    </row>
    <row r="3" spans="1:5" ht="13.5" thickTop="1" x14ac:dyDescent="0.15">
      <c r="A3" s="128"/>
      <c r="B3" s="125" t="s">
        <v>7</v>
      </c>
      <c r="C3" s="127"/>
      <c r="D3" s="125" t="s">
        <v>8</v>
      </c>
      <c r="E3" s="130"/>
    </row>
    <row r="4" spans="1:5" x14ac:dyDescent="0.15">
      <c r="A4" s="129"/>
      <c r="B4" s="126"/>
      <c r="C4" s="104"/>
      <c r="D4" s="126"/>
      <c r="E4" s="131"/>
    </row>
    <row r="5" spans="1:5" x14ac:dyDescent="0.15">
      <c r="A5" s="2" t="s">
        <v>9</v>
      </c>
      <c r="B5" s="77" t="s">
        <v>119</v>
      </c>
      <c r="C5" s="1" t="s">
        <v>0</v>
      </c>
      <c r="D5" s="77" t="s">
        <v>129</v>
      </c>
      <c r="E5" s="13"/>
    </row>
    <row r="6" spans="1:5" x14ac:dyDescent="0.15">
      <c r="A6" s="2" t="s">
        <v>10</v>
      </c>
      <c r="B6" s="77" t="s">
        <v>120</v>
      </c>
      <c r="C6" s="1" t="s">
        <v>0</v>
      </c>
      <c r="D6" s="77" t="s">
        <v>114</v>
      </c>
      <c r="E6" s="13"/>
    </row>
    <row r="7" spans="1:5" x14ac:dyDescent="0.15">
      <c r="A7" s="14" t="s">
        <v>11</v>
      </c>
      <c r="B7" s="15" t="s">
        <v>111</v>
      </c>
      <c r="C7" s="16" t="s">
        <v>0</v>
      </c>
      <c r="D7" s="15" t="s">
        <v>118</v>
      </c>
      <c r="E7" s="17"/>
    </row>
    <row r="8" spans="1:5" x14ac:dyDescent="0.15">
      <c r="A8" s="2" t="s">
        <v>12</v>
      </c>
      <c r="B8" s="77" t="s">
        <v>121</v>
      </c>
      <c r="C8" s="1" t="s">
        <v>0</v>
      </c>
      <c r="D8" s="77" t="s">
        <v>117</v>
      </c>
      <c r="E8" s="13"/>
    </row>
    <row r="9" spans="1:5" x14ac:dyDescent="0.15">
      <c r="A9" s="2" t="s">
        <v>13</v>
      </c>
      <c r="B9" s="77" t="s">
        <v>122</v>
      </c>
      <c r="C9" s="1" t="s">
        <v>0</v>
      </c>
      <c r="D9" s="77" t="s">
        <v>130</v>
      </c>
      <c r="E9" s="13"/>
    </row>
    <row r="10" spans="1:5" x14ac:dyDescent="0.15">
      <c r="A10" s="14" t="s">
        <v>14</v>
      </c>
      <c r="B10" s="15" t="s">
        <v>123</v>
      </c>
      <c r="C10" s="16" t="s">
        <v>0</v>
      </c>
      <c r="D10" s="15" t="s">
        <v>131</v>
      </c>
      <c r="E10" s="17"/>
    </row>
    <row r="11" spans="1:5" x14ac:dyDescent="0.15">
      <c r="A11" s="2" t="s">
        <v>15</v>
      </c>
      <c r="B11" s="77" t="s">
        <v>124</v>
      </c>
      <c r="C11" s="1" t="s">
        <v>0</v>
      </c>
      <c r="D11" s="77" t="s">
        <v>115</v>
      </c>
      <c r="E11" s="13"/>
    </row>
    <row r="12" spans="1:5" x14ac:dyDescent="0.15">
      <c r="A12" s="2" t="s">
        <v>16</v>
      </c>
      <c r="B12" s="77" t="s">
        <v>125</v>
      </c>
      <c r="C12" s="1" t="s">
        <v>0</v>
      </c>
      <c r="D12" s="77" t="s">
        <v>112</v>
      </c>
      <c r="E12" s="13"/>
    </row>
    <row r="13" spans="1:5" x14ac:dyDescent="0.15">
      <c r="A13" s="14" t="s">
        <v>17</v>
      </c>
      <c r="B13" s="15" t="s">
        <v>116</v>
      </c>
      <c r="C13" s="16" t="s">
        <v>0</v>
      </c>
      <c r="D13" s="15" t="s">
        <v>113</v>
      </c>
      <c r="E13" s="17"/>
    </row>
    <row r="14" spans="1:5" x14ac:dyDescent="0.15">
      <c r="A14" s="2" t="s">
        <v>18</v>
      </c>
      <c r="B14" s="77" t="s">
        <v>126</v>
      </c>
      <c r="C14" s="1" t="s">
        <v>0</v>
      </c>
      <c r="D14" s="77" t="s">
        <v>132</v>
      </c>
      <c r="E14" s="13"/>
    </row>
    <row r="15" spans="1:5" x14ac:dyDescent="0.15">
      <c r="A15" s="2" t="s">
        <v>19</v>
      </c>
      <c r="B15" s="77" t="s">
        <v>127</v>
      </c>
      <c r="C15" s="1" t="s">
        <v>0</v>
      </c>
      <c r="D15" s="77" t="s">
        <v>133</v>
      </c>
      <c r="E15" s="13"/>
    </row>
    <row r="16" spans="1:5" x14ac:dyDescent="0.15">
      <c r="A16" s="2" t="s">
        <v>20</v>
      </c>
      <c r="B16" s="77" t="s">
        <v>109</v>
      </c>
      <c r="C16" s="1" t="s">
        <v>0</v>
      </c>
      <c r="D16" s="77" t="s">
        <v>134</v>
      </c>
      <c r="E16" s="13"/>
    </row>
    <row r="17" spans="1:5" x14ac:dyDescent="0.15">
      <c r="A17" s="2" t="s">
        <v>21</v>
      </c>
      <c r="B17" s="77" t="s">
        <v>128</v>
      </c>
      <c r="C17" s="1" t="s">
        <v>0</v>
      </c>
      <c r="D17" s="77" t="s">
        <v>135</v>
      </c>
      <c r="E17" s="13"/>
    </row>
    <row r="18" spans="1:5" ht="13.5" thickBot="1" x14ac:dyDescent="0.2">
      <c r="A18" s="18"/>
      <c r="B18" s="19"/>
      <c r="C18" s="19"/>
      <c r="D18" s="19"/>
      <c r="E18" s="20"/>
    </row>
    <row r="19" spans="1:5" ht="13.5" thickTop="1" x14ac:dyDescent="0.15">
      <c r="A19" s="113" t="s">
        <v>22</v>
      </c>
      <c r="B19" s="114"/>
      <c r="C19" s="114"/>
      <c r="D19" s="114"/>
      <c r="E19" s="115"/>
    </row>
    <row r="20" spans="1:5" ht="13.5" thickBot="1" x14ac:dyDescent="0.2">
      <c r="A20" s="116"/>
      <c r="B20" s="117"/>
      <c r="C20" s="117"/>
      <c r="D20" s="117"/>
      <c r="E20" s="118"/>
    </row>
    <row r="21" spans="1:5" ht="13.5" thickTop="1" x14ac:dyDescent="0.15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7ABD-8117-4DB1-BD21-2511CBC68649}">
  <sheetPr>
    <pageSetUpPr fitToPage="1"/>
  </sheetPr>
  <dimension ref="A1:P21"/>
  <sheetViews>
    <sheetView showGridLines="0" workbookViewId="0">
      <selection activeCell="J7" sqref="J7:J19"/>
    </sheetView>
  </sheetViews>
  <sheetFormatPr defaultColWidth="9.16796875" defaultRowHeight="12.75" x14ac:dyDescent="0.15"/>
  <cols>
    <col min="1" max="1" width="3.7734375" style="22" bestFit="1" customWidth="1"/>
    <col min="2" max="2" width="14.15625" style="22" bestFit="1" customWidth="1"/>
    <col min="3" max="3" width="3.7734375" style="22" bestFit="1" customWidth="1"/>
    <col min="4" max="4" width="14.15625" style="22" customWidth="1"/>
    <col min="5" max="5" width="3.7734375" style="22" bestFit="1" customWidth="1"/>
    <col min="6" max="6" width="14.15625" style="22" customWidth="1"/>
    <col min="7" max="7" width="3.7734375" style="22" bestFit="1" customWidth="1"/>
    <col min="8" max="8" width="14.15625" style="22" customWidth="1"/>
    <col min="9" max="9" width="3.7734375" style="22" bestFit="1" customWidth="1"/>
    <col min="10" max="10" width="14.15625" style="22" customWidth="1"/>
    <col min="11" max="11" width="3.7734375" style="22" bestFit="1" customWidth="1"/>
    <col min="12" max="12" width="14.15625" style="22" customWidth="1"/>
    <col min="13" max="13" width="3.7734375" style="22" bestFit="1" customWidth="1"/>
    <col min="14" max="14" width="14.15625" style="22" customWidth="1"/>
    <col min="15" max="15" width="3.7734375" style="22" bestFit="1" customWidth="1"/>
    <col min="16" max="16" width="14.15625" style="22" customWidth="1"/>
    <col min="17" max="16384" width="9.16796875" style="22"/>
  </cols>
  <sheetData>
    <row r="1" spans="1:16" s="21" customFormat="1" x14ac:dyDescent="0.15">
      <c r="A1" s="12"/>
      <c r="B1" s="132" t="str">
        <f>DB!D6</f>
        <v>1/4-finaler - K2</v>
      </c>
      <c r="C1" s="12"/>
      <c r="D1" s="132" t="str">
        <f>DB!D6</f>
        <v>1/4-finaler - K2</v>
      </c>
      <c r="E1" s="12"/>
      <c r="F1" s="132" t="str">
        <f>DB!D6</f>
        <v>1/4-finaler - K2</v>
      </c>
      <c r="G1" s="12"/>
      <c r="H1" s="132" t="str">
        <f>DB!D6</f>
        <v>1/4-finaler - K2</v>
      </c>
      <c r="I1" s="12"/>
      <c r="J1" s="132" t="str">
        <f>DB!D6</f>
        <v>1/4-finaler - K2</v>
      </c>
      <c r="K1" s="12"/>
      <c r="L1" s="132" t="str">
        <f>DB!D6</f>
        <v>1/4-finaler - K2</v>
      </c>
      <c r="M1" s="12"/>
      <c r="N1" s="132" t="str">
        <f>DB!D6</f>
        <v>1/4-finaler - K2</v>
      </c>
      <c r="O1" s="12"/>
      <c r="P1" s="132" t="str">
        <f>DB!D6</f>
        <v>1/4-finaler - K2</v>
      </c>
    </row>
    <row r="2" spans="1:16" s="21" customFormat="1" ht="13.5" thickBot="1" x14ac:dyDescent="0.2">
      <c r="A2" s="12"/>
      <c r="B2" s="133"/>
      <c r="C2" s="12"/>
      <c r="D2" s="133"/>
      <c r="E2" s="12"/>
      <c r="F2" s="133"/>
      <c r="G2" s="12"/>
      <c r="H2" s="133"/>
      <c r="I2" s="12"/>
      <c r="J2" s="133"/>
      <c r="K2" s="12"/>
      <c r="L2" s="133"/>
      <c r="M2" s="12"/>
      <c r="N2" s="133"/>
      <c r="O2" s="12"/>
      <c r="P2" s="133"/>
    </row>
    <row r="3" spans="1:16" s="21" customFormat="1" ht="14.25" thickTop="1" thickBot="1" x14ac:dyDescent="0.2">
      <c r="A3" s="12"/>
      <c r="B3" s="3" t="str">
        <f>DGET(DB!A11:H19,"Signatur",DB!A27:A28)</f>
        <v>Benbo</v>
      </c>
      <c r="C3" s="12"/>
      <c r="D3" s="3" t="str">
        <f>DGET(DB!A11:H19,"Signatur",DB!B27:B28)</f>
        <v>Frydkær</v>
      </c>
      <c r="E3" s="12"/>
      <c r="F3" s="3" t="str">
        <f>DGET(DB!A11:H19,"Signatur",DB!C27:C28)</f>
        <v>Idskov</v>
      </c>
      <c r="G3" s="12"/>
      <c r="H3" s="3" t="str">
        <f>DGET(DB!A11:H19,"Signatur",DB!D27:D28)</f>
        <v>LPHJ</v>
      </c>
      <c r="I3" s="12"/>
      <c r="J3" s="3" t="str">
        <f>DGET(DB!A11:H19,"Signatur",DB!E27:E28)</f>
        <v>Robbo</v>
      </c>
      <c r="K3" s="12"/>
      <c r="L3" s="3" t="str">
        <f>DGET(DB!A11:H19,"Signatur",DB!F27:F28)</f>
        <v/>
      </c>
      <c r="M3" s="12"/>
      <c r="N3" s="3" t="str">
        <f>DGET(DB!A11:H19,"Signatur",DB!G27:G28)</f>
        <v/>
      </c>
      <c r="O3" s="12"/>
      <c r="P3" s="3" t="str">
        <f>DGET(DB!A11:H19,"Signatur",DB!H27:H28)</f>
        <v/>
      </c>
    </row>
    <row r="4" spans="1:16" s="21" customFormat="1" ht="14.25" thickTop="1" thickBot="1" x14ac:dyDescent="0.2">
      <c r="A4" s="12"/>
      <c r="B4" s="3" t="str">
        <f>IF(DB!A12&lt;&gt;"",IF(DB!H12=1,"Disket",IF(DB!J12=1,"Udmeldt",IF(DB!P12="Walkover","Walkover","Status"))),"")</f>
        <v>Status</v>
      </c>
      <c r="C4" s="12"/>
      <c r="D4" s="3" t="str">
        <f>IF(DB!A13&lt;&gt;"",IF(DB!H13=1,"Disket",IF(DB!J13=1,"Udmeldt",IF(DB!P13="Walkover","Walkover","Status"))),"")</f>
        <v>Status</v>
      </c>
      <c r="E4" s="12"/>
      <c r="F4" s="3" t="str">
        <f>IF(DB!A14&lt;&gt;"",IF(DB!H14=1,"Disket",IF(DB!J14=1,"Udmeldt",IF(DB!P14="Walkover","Walkover","Status"))),"")</f>
        <v>Status</v>
      </c>
      <c r="G4" s="12"/>
      <c r="H4" s="3" t="str">
        <f>IF(DB!A15&lt;&gt;"",IF(DB!H15=1,"Disket",IF(DB!J15=1,"Udmeldt",IF(DB!P15="Walkover","Walkover","Status"))),"")</f>
        <v>Status</v>
      </c>
      <c r="I4" s="12"/>
      <c r="J4" s="3" t="str">
        <f>IF(DB!A16&lt;&gt;"",IF(DB!H16=1,"Disket",IF(DB!J16=1,"Udmeldt",IF(DB!P16="Walkover","Walkover","Status"))),"")</f>
        <v>Status</v>
      </c>
      <c r="K4" s="12"/>
      <c r="L4" s="3" t="str">
        <f>IF(DB!A17&lt;&gt;"",IF(DB!H17=1,"Disket",IF(DB!J17=1,"Udmeldt",IF(DB!P17="Walkover","Walkover","Status"))),"")</f>
        <v/>
      </c>
      <c r="M4" s="12"/>
      <c r="N4" s="3" t="str">
        <f>IF(DB!A18&lt;&gt;"",IF(DB!H18=1,"Disket",IF(DB!J18=1,"Udmeldt",IF(DB!P18="Walkover","Walkover","Status"))),"")</f>
        <v/>
      </c>
      <c r="O4" s="12"/>
      <c r="P4" s="3" t="str">
        <f>IF(DB!A19&lt;&gt;"",IF(DB!H19=1,"Disket",IF(DB!J19=1,"Udmeldt",IF(DB!P19="Walkover","Walkover","Status"))),"")</f>
        <v/>
      </c>
    </row>
    <row r="5" spans="1:16" s="21" customFormat="1" ht="14.25" thickTop="1" thickBot="1" x14ac:dyDescent="0.2">
      <c r="A5" s="12"/>
      <c r="B5" s="7"/>
      <c r="C5" s="12"/>
      <c r="D5" s="7"/>
      <c r="E5" s="12"/>
      <c r="F5" s="7" t="s">
        <v>24</v>
      </c>
      <c r="G5" s="12"/>
      <c r="H5" s="7"/>
      <c r="I5" s="12"/>
      <c r="J5" s="7"/>
      <c r="K5" s="12"/>
      <c r="L5" s="7"/>
      <c r="M5" s="12"/>
      <c r="N5" s="7"/>
      <c r="O5" s="12"/>
      <c r="P5" s="7"/>
    </row>
    <row r="6" spans="1:16" s="21" customFormat="1" ht="14.25" thickTop="1" thickBot="1" x14ac:dyDescent="0.2">
      <c r="A6" s="12"/>
      <c r="B6" s="75" t="str">
        <f>IF(B3&lt;&gt;"","Række","")</f>
        <v>Række</v>
      </c>
      <c r="C6" s="76"/>
      <c r="D6" s="75" t="str">
        <f>IF(D3&lt;&gt;"","Række","")</f>
        <v>Række</v>
      </c>
      <c r="E6" s="76"/>
      <c r="F6" s="75" t="str">
        <f>IF(F3&lt;&gt;"","Række","")</f>
        <v>Række</v>
      </c>
      <c r="G6" s="76"/>
      <c r="H6" s="75" t="str">
        <f>IF(H3&lt;&gt;"","Række","")</f>
        <v>Række</v>
      </c>
      <c r="I6" s="76"/>
      <c r="J6" s="75" t="str">
        <f>IF(J3&lt;&gt;"","Række","")</f>
        <v>Række</v>
      </c>
      <c r="K6" s="76"/>
      <c r="L6" s="75" t="str">
        <f>IF(L3&lt;&gt;"","Række","")</f>
        <v/>
      </c>
      <c r="M6" s="76"/>
      <c r="N6" s="75" t="str">
        <f>IF(N3&lt;&gt;"","Række","")</f>
        <v/>
      </c>
      <c r="O6" s="76"/>
      <c r="P6" s="75" t="str">
        <f>IF(P3&lt;&gt;"","Række","")</f>
        <v/>
      </c>
    </row>
    <row r="7" spans="1:16" s="21" customFormat="1" ht="15" thickTop="1" x14ac:dyDescent="0.15">
      <c r="A7" s="4" t="s">
        <v>9</v>
      </c>
      <c r="B7" s="78">
        <v>1</v>
      </c>
      <c r="C7" s="4" t="s">
        <v>9</v>
      </c>
      <c r="D7" s="78">
        <v>1</v>
      </c>
      <c r="E7" s="4" t="s">
        <v>9</v>
      </c>
      <c r="F7" s="78"/>
      <c r="G7" s="4" t="s">
        <v>9</v>
      </c>
      <c r="H7" s="8">
        <v>1</v>
      </c>
      <c r="I7" s="4" t="s">
        <v>9</v>
      </c>
      <c r="J7" s="78">
        <v>1</v>
      </c>
      <c r="K7" s="4" t="s">
        <v>9</v>
      </c>
      <c r="L7" s="8"/>
      <c r="M7" s="4" t="s">
        <v>9</v>
      </c>
      <c r="N7" s="8"/>
      <c r="O7" s="4" t="s">
        <v>9</v>
      </c>
      <c r="P7" s="8"/>
    </row>
    <row r="8" spans="1:16" s="21" customFormat="1" ht="14.25" x14ac:dyDescent="0.15">
      <c r="A8" s="4" t="s">
        <v>10</v>
      </c>
      <c r="B8" s="79">
        <v>2</v>
      </c>
      <c r="C8" s="4" t="s">
        <v>10</v>
      </c>
      <c r="D8" s="79">
        <v>2</v>
      </c>
      <c r="E8" s="4" t="s">
        <v>10</v>
      </c>
      <c r="F8" s="79"/>
      <c r="G8" s="4" t="s">
        <v>10</v>
      </c>
      <c r="H8" s="9" t="s">
        <v>110</v>
      </c>
      <c r="I8" s="4" t="s">
        <v>10</v>
      </c>
      <c r="J8" s="79" t="s">
        <v>110</v>
      </c>
      <c r="K8" s="4" t="s">
        <v>10</v>
      </c>
      <c r="L8" s="9"/>
      <c r="M8" s="4" t="s">
        <v>10</v>
      </c>
      <c r="N8" s="9"/>
      <c r="O8" s="4" t="s">
        <v>10</v>
      </c>
      <c r="P8" s="9"/>
    </row>
    <row r="9" spans="1:16" s="21" customFormat="1" ht="15" thickBot="1" x14ac:dyDescent="0.2">
      <c r="A9" s="4" t="s">
        <v>11</v>
      </c>
      <c r="B9" s="80" t="s">
        <v>110</v>
      </c>
      <c r="C9" s="4" t="s">
        <v>11</v>
      </c>
      <c r="D9" s="80">
        <v>2</v>
      </c>
      <c r="E9" s="4" t="s">
        <v>11</v>
      </c>
      <c r="F9" s="80"/>
      <c r="G9" s="4" t="s">
        <v>11</v>
      </c>
      <c r="H9" s="10">
        <v>1</v>
      </c>
      <c r="I9" s="4" t="s">
        <v>11</v>
      </c>
      <c r="J9" s="80">
        <v>1</v>
      </c>
      <c r="K9" s="4" t="s">
        <v>11</v>
      </c>
      <c r="L9" s="10"/>
      <c r="M9" s="4" t="s">
        <v>11</v>
      </c>
      <c r="N9" s="10"/>
      <c r="O9" s="4" t="s">
        <v>11</v>
      </c>
      <c r="P9" s="10"/>
    </row>
    <row r="10" spans="1:16" s="21" customFormat="1" ht="14.25" x14ac:dyDescent="0.15">
      <c r="A10" s="4" t="s">
        <v>12</v>
      </c>
      <c r="B10" s="81">
        <v>2</v>
      </c>
      <c r="C10" s="4" t="s">
        <v>12</v>
      </c>
      <c r="D10" s="81">
        <v>2</v>
      </c>
      <c r="E10" s="4" t="s">
        <v>12</v>
      </c>
      <c r="F10" s="81"/>
      <c r="G10" s="4" t="s">
        <v>12</v>
      </c>
      <c r="H10" s="11">
        <v>2</v>
      </c>
      <c r="I10" s="4" t="s">
        <v>12</v>
      </c>
      <c r="J10" s="81">
        <v>2</v>
      </c>
      <c r="K10" s="4" t="s">
        <v>12</v>
      </c>
      <c r="L10" s="11"/>
      <c r="M10" s="4" t="s">
        <v>12</v>
      </c>
      <c r="N10" s="11"/>
      <c r="O10" s="4" t="s">
        <v>12</v>
      </c>
      <c r="P10" s="11"/>
    </row>
    <row r="11" spans="1:16" s="21" customFormat="1" ht="14.25" x14ac:dyDescent="0.15">
      <c r="A11" s="4" t="s">
        <v>13</v>
      </c>
      <c r="B11" s="79">
        <v>2</v>
      </c>
      <c r="C11" s="4" t="s">
        <v>13</v>
      </c>
      <c r="D11" s="79">
        <v>2</v>
      </c>
      <c r="E11" s="4" t="s">
        <v>13</v>
      </c>
      <c r="F11" s="79"/>
      <c r="G11" s="4" t="s">
        <v>13</v>
      </c>
      <c r="H11" s="9">
        <v>2</v>
      </c>
      <c r="I11" s="4" t="s">
        <v>13</v>
      </c>
      <c r="J11" s="79">
        <v>2</v>
      </c>
      <c r="K11" s="4" t="s">
        <v>13</v>
      </c>
      <c r="L11" s="9"/>
      <c r="M11" s="4" t="s">
        <v>13</v>
      </c>
      <c r="N11" s="9"/>
      <c r="O11" s="4" t="s">
        <v>13</v>
      </c>
      <c r="P11" s="9"/>
    </row>
    <row r="12" spans="1:16" s="21" customFormat="1" ht="15" thickBot="1" x14ac:dyDescent="0.2">
      <c r="A12" s="4" t="s">
        <v>14</v>
      </c>
      <c r="B12" s="80">
        <v>2</v>
      </c>
      <c r="C12" s="4" t="s">
        <v>14</v>
      </c>
      <c r="D12" s="80">
        <v>2</v>
      </c>
      <c r="E12" s="4" t="s">
        <v>14</v>
      </c>
      <c r="F12" s="80"/>
      <c r="G12" s="4" t="s">
        <v>14</v>
      </c>
      <c r="H12" s="10">
        <v>2</v>
      </c>
      <c r="I12" s="4" t="s">
        <v>14</v>
      </c>
      <c r="J12" s="80">
        <v>2</v>
      </c>
      <c r="K12" s="4" t="s">
        <v>14</v>
      </c>
      <c r="L12" s="10"/>
      <c r="M12" s="4" t="s">
        <v>14</v>
      </c>
      <c r="N12" s="10"/>
      <c r="O12" s="4" t="s">
        <v>14</v>
      </c>
      <c r="P12" s="10"/>
    </row>
    <row r="13" spans="1:16" s="21" customFormat="1" ht="14.25" x14ac:dyDescent="0.15">
      <c r="A13" s="4" t="s">
        <v>15</v>
      </c>
      <c r="B13" s="81">
        <v>1</v>
      </c>
      <c r="C13" s="4" t="s">
        <v>15</v>
      </c>
      <c r="D13" s="81">
        <v>1</v>
      </c>
      <c r="E13" s="4" t="s">
        <v>15</v>
      </c>
      <c r="F13" s="81"/>
      <c r="G13" s="4" t="s">
        <v>15</v>
      </c>
      <c r="H13" s="11">
        <v>1</v>
      </c>
      <c r="I13" s="4" t="s">
        <v>15</v>
      </c>
      <c r="J13" s="81">
        <v>1</v>
      </c>
      <c r="K13" s="4" t="s">
        <v>15</v>
      </c>
      <c r="L13" s="11"/>
      <c r="M13" s="4" t="s">
        <v>15</v>
      </c>
      <c r="N13" s="11"/>
      <c r="O13" s="4" t="s">
        <v>15</v>
      </c>
      <c r="P13" s="11"/>
    </row>
    <row r="14" spans="1:16" s="21" customFormat="1" ht="14.25" x14ac:dyDescent="0.15">
      <c r="A14" s="4" t="s">
        <v>16</v>
      </c>
      <c r="B14" s="79">
        <v>1</v>
      </c>
      <c r="C14" s="4" t="s">
        <v>16</v>
      </c>
      <c r="D14" s="79">
        <v>1</v>
      </c>
      <c r="E14" s="4" t="s">
        <v>16</v>
      </c>
      <c r="F14" s="79"/>
      <c r="G14" s="4" t="s">
        <v>16</v>
      </c>
      <c r="H14" s="9">
        <v>1</v>
      </c>
      <c r="I14" s="4" t="s">
        <v>16</v>
      </c>
      <c r="J14" s="79">
        <v>1</v>
      </c>
      <c r="K14" s="4" t="s">
        <v>16</v>
      </c>
      <c r="L14" s="9"/>
      <c r="M14" s="4" t="s">
        <v>16</v>
      </c>
      <c r="N14" s="9"/>
      <c r="O14" s="4" t="s">
        <v>16</v>
      </c>
      <c r="P14" s="9"/>
    </row>
    <row r="15" spans="1:16" s="21" customFormat="1" ht="15" thickBot="1" x14ac:dyDescent="0.2">
      <c r="A15" s="4" t="s">
        <v>17</v>
      </c>
      <c r="B15" s="80">
        <v>2</v>
      </c>
      <c r="C15" s="4" t="s">
        <v>17</v>
      </c>
      <c r="D15" s="80">
        <v>2</v>
      </c>
      <c r="E15" s="4" t="s">
        <v>17</v>
      </c>
      <c r="F15" s="80"/>
      <c r="G15" s="4" t="s">
        <v>17</v>
      </c>
      <c r="H15" s="10">
        <v>1</v>
      </c>
      <c r="I15" s="4" t="s">
        <v>17</v>
      </c>
      <c r="J15" s="80">
        <v>1</v>
      </c>
      <c r="K15" s="4" t="s">
        <v>17</v>
      </c>
      <c r="L15" s="10"/>
      <c r="M15" s="4" t="s">
        <v>17</v>
      </c>
      <c r="N15" s="10"/>
      <c r="O15" s="4" t="s">
        <v>17</v>
      </c>
      <c r="P15" s="10"/>
    </row>
    <row r="16" spans="1:16" s="21" customFormat="1" ht="14.25" x14ac:dyDescent="0.15">
      <c r="A16" s="4" t="s">
        <v>18</v>
      </c>
      <c r="B16" s="81">
        <v>1</v>
      </c>
      <c r="C16" s="4" t="s">
        <v>18</v>
      </c>
      <c r="D16" s="81">
        <v>1</v>
      </c>
      <c r="E16" s="4" t="s">
        <v>18</v>
      </c>
      <c r="F16" s="81"/>
      <c r="G16" s="4" t="s">
        <v>18</v>
      </c>
      <c r="H16" s="11">
        <v>1</v>
      </c>
      <c r="I16" s="4" t="s">
        <v>18</v>
      </c>
      <c r="J16" s="81">
        <v>1</v>
      </c>
      <c r="K16" s="4" t="s">
        <v>18</v>
      </c>
      <c r="L16" s="11"/>
      <c r="M16" s="4" t="s">
        <v>18</v>
      </c>
      <c r="N16" s="11"/>
      <c r="O16" s="4" t="s">
        <v>18</v>
      </c>
      <c r="P16" s="11"/>
    </row>
    <row r="17" spans="1:16" s="21" customFormat="1" ht="14.25" x14ac:dyDescent="0.15">
      <c r="A17" s="4" t="s">
        <v>19</v>
      </c>
      <c r="B17" s="79">
        <v>2</v>
      </c>
      <c r="C17" s="4" t="s">
        <v>19</v>
      </c>
      <c r="D17" s="79" t="s">
        <v>110</v>
      </c>
      <c r="E17" s="4" t="s">
        <v>19</v>
      </c>
      <c r="F17" s="79"/>
      <c r="G17" s="4" t="s">
        <v>19</v>
      </c>
      <c r="H17" s="9">
        <v>2</v>
      </c>
      <c r="I17" s="4" t="s">
        <v>19</v>
      </c>
      <c r="J17" s="79">
        <v>2</v>
      </c>
      <c r="K17" s="4" t="s">
        <v>19</v>
      </c>
      <c r="L17" s="9"/>
      <c r="M17" s="4" t="s">
        <v>19</v>
      </c>
      <c r="N17" s="9"/>
      <c r="O17" s="4" t="s">
        <v>19</v>
      </c>
      <c r="P17" s="9"/>
    </row>
    <row r="18" spans="1:16" s="21" customFormat="1" ht="14.25" x14ac:dyDescent="0.15">
      <c r="A18" s="4" t="s">
        <v>20</v>
      </c>
      <c r="B18" s="79">
        <v>1</v>
      </c>
      <c r="C18" s="4" t="s">
        <v>20</v>
      </c>
      <c r="D18" s="79">
        <v>1</v>
      </c>
      <c r="E18" s="4" t="s">
        <v>20</v>
      </c>
      <c r="F18" s="79"/>
      <c r="G18" s="4" t="s">
        <v>20</v>
      </c>
      <c r="H18" s="9">
        <v>1</v>
      </c>
      <c r="I18" s="4" t="s">
        <v>20</v>
      </c>
      <c r="J18" s="79">
        <v>1</v>
      </c>
      <c r="K18" s="4" t="s">
        <v>20</v>
      </c>
      <c r="L18" s="9"/>
      <c r="M18" s="4" t="s">
        <v>20</v>
      </c>
      <c r="N18" s="9"/>
      <c r="O18" s="4" t="s">
        <v>20</v>
      </c>
      <c r="P18" s="9"/>
    </row>
    <row r="19" spans="1:16" s="21" customFormat="1" ht="15" thickBot="1" x14ac:dyDescent="0.2">
      <c r="A19" s="4" t="s">
        <v>21</v>
      </c>
      <c r="B19" s="82">
        <v>2</v>
      </c>
      <c r="C19" s="4" t="s">
        <v>21</v>
      </c>
      <c r="D19" s="82">
        <v>2</v>
      </c>
      <c r="E19" s="4" t="s">
        <v>21</v>
      </c>
      <c r="F19" s="82"/>
      <c r="G19" s="4" t="s">
        <v>21</v>
      </c>
      <c r="H19" s="11">
        <v>2</v>
      </c>
      <c r="I19" s="4" t="s">
        <v>21</v>
      </c>
      <c r="J19" s="82">
        <v>2</v>
      </c>
      <c r="K19" s="4" t="s">
        <v>21</v>
      </c>
      <c r="L19" s="11"/>
      <c r="M19" s="4" t="s">
        <v>21</v>
      </c>
      <c r="N19" s="11"/>
      <c r="O19" s="4" t="s">
        <v>21</v>
      </c>
      <c r="P19" s="11"/>
    </row>
    <row r="20" spans="1:16" s="21" customFormat="1" ht="14.25" thickTop="1" thickBot="1" x14ac:dyDescent="0.2">
      <c r="A20" s="5"/>
      <c r="B20" s="3" t="str">
        <f>DB!A8</f>
        <v>OK</v>
      </c>
      <c r="C20" s="5"/>
      <c r="D20" s="3" t="str">
        <f>DB!B8</f>
        <v>OK</v>
      </c>
      <c r="E20" s="5"/>
      <c r="F20" s="3" t="str">
        <f>DB!C8</f>
        <v>OK</v>
      </c>
      <c r="G20" s="5"/>
      <c r="H20" s="3" t="str">
        <f>DB!D8</f>
        <v>OK</v>
      </c>
      <c r="I20" s="5"/>
      <c r="J20" s="3" t="str">
        <f>DB!E8</f>
        <v>OK</v>
      </c>
      <c r="K20" s="5"/>
      <c r="L20" s="3" t="str">
        <f>DB!F8</f>
        <v/>
      </c>
      <c r="M20" s="5"/>
      <c r="N20" s="3" t="str">
        <f>DB!G8</f>
        <v/>
      </c>
      <c r="O20" s="5"/>
      <c r="P20" s="3" t="str">
        <f>DB!H8</f>
        <v/>
      </c>
    </row>
    <row r="21" spans="1:16" ht="13.5" thickTop="1" x14ac:dyDescent="0.15"/>
  </sheetData>
  <sheetProtection sheet="1" objects="1" scenarios="1"/>
  <mergeCells count="8">
    <mergeCell ref="N1:N2"/>
    <mergeCell ref="P1:P2"/>
    <mergeCell ref="B1:B2"/>
    <mergeCell ref="D1:D2"/>
    <mergeCell ref="F1:F2"/>
    <mergeCell ref="H1:H2"/>
    <mergeCell ref="J1:J2"/>
    <mergeCell ref="L1:L2"/>
  </mergeCells>
  <phoneticPr fontId="0" type="noConversion"/>
  <printOptions horizontalCentered="1" verticalCentered="1"/>
  <pageMargins left="0.39370078740157483" right="0" top="0" bottom="0" header="0" footer="0"/>
  <pageSetup paperSize="9" scale="49" orientation="landscape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1287-831C-4DE9-8033-58D7121DDAD4}">
  <sheetPr>
    <pageSetUpPr fitToPage="1"/>
  </sheetPr>
  <dimension ref="A1:BC77"/>
  <sheetViews>
    <sheetView showGridLines="0" topLeftCell="C1" zoomScale="73" workbookViewId="0">
      <selection activeCell="E20" sqref="E20"/>
    </sheetView>
  </sheetViews>
  <sheetFormatPr defaultColWidth="9.16796875" defaultRowHeight="12.75" x14ac:dyDescent="0.15"/>
  <cols>
    <col min="1" max="1" width="1.75" style="47" customWidth="1"/>
    <col min="2" max="2" width="3.1015625" style="47" customWidth="1"/>
    <col min="3" max="3" width="35.87109375" style="47" customWidth="1"/>
    <col min="4" max="4" width="1.75" style="47" customWidth="1"/>
    <col min="5" max="5" width="4.3125" style="47" bestFit="1" customWidth="1"/>
    <col min="6" max="53" width="2.96484375" style="47" customWidth="1"/>
    <col min="54" max="16384" width="9.16796875" style="47"/>
  </cols>
  <sheetData>
    <row r="1" spans="1:55" ht="16.350000000000001" customHeight="1" x14ac:dyDescent="0.15">
      <c r="A1" s="100" t="str">
        <f>CONCATENATE("Grand Prix ",DB!B1)</f>
        <v>Grand Prix 2026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3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</row>
    <row r="2" spans="1:55" ht="16.350000000000001" customHeight="1" x14ac:dyDescent="0.1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</row>
    <row r="3" spans="1:55" ht="16.350000000000001" customHeight="1" thickBot="1" x14ac:dyDescent="0.2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</row>
    <row r="4" spans="1:55" ht="75.75" customHeight="1" thickTop="1" x14ac:dyDescent="0.15">
      <c r="A4" s="107" t="str">
        <f>IF(F4&lt;&gt;"",DB!D5,"")</f>
        <v>Kvartfinaler, Kamp 2</v>
      </c>
      <c r="B4" s="108"/>
      <c r="C4" s="108"/>
      <c r="D4" s="109"/>
      <c r="E4" s="91" t="str">
        <f>IF(F4&lt;&gt;"","De 13 rigtige","")</f>
        <v>De 13 rigtige</v>
      </c>
      <c r="F4" s="89" t="str">
        <f>Rækker!B3</f>
        <v>Benbo</v>
      </c>
      <c r="G4" s="90"/>
      <c r="H4" s="91"/>
      <c r="I4" s="89" t="str">
        <f>Rækker!D3</f>
        <v>Frydkær</v>
      </c>
      <c r="J4" s="90"/>
      <c r="K4" s="91"/>
      <c r="L4" s="89" t="str">
        <f>Rækker!F3</f>
        <v>Idskov</v>
      </c>
      <c r="M4" s="90"/>
      <c r="N4" s="91"/>
      <c r="O4" s="89" t="str">
        <f>Rækker!H3</f>
        <v>LPHJ</v>
      </c>
      <c r="P4" s="90"/>
      <c r="Q4" s="91"/>
      <c r="R4" s="89" t="str">
        <f>Rækker!J3</f>
        <v>Robbo</v>
      </c>
      <c r="S4" s="90"/>
      <c r="T4" s="91"/>
      <c r="U4" s="89" t="str">
        <f>Rækker!L3</f>
        <v/>
      </c>
      <c r="V4" s="90"/>
      <c r="W4" s="91"/>
      <c r="X4" s="89" t="str">
        <f>Rækker!N3</f>
        <v/>
      </c>
      <c r="Y4" s="90"/>
      <c r="Z4" s="91"/>
      <c r="AA4" s="89" t="str">
        <f>Rækker!P3</f>
        <v/>
      </c>
      <c r="AB4" s="90"/>
      <c r="AC4" s="91"/>
      <c r="AD4" s="105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</row>
    <row r="5" spans="1:55" ht="16.350000000000001" customHeight="1" thickBot="1" x14ac:dyDescent="0.2">
      <c r="A5" s="110"/>
      <c r="B5" s="111"/>
      <c r="C5" s="111"/>
      <c r="D5" s="112"/>
      <c r="E5" s="97"/>
      <c r="F5" s="86" t="str">
        <f>DB!P12</f>
        <v/>
      </c>
      <c r="G5" s="87"/>
      <c r="H5" s="88"/>
      <c r="I5" s="86" t="str">
        <f>DB!P13</f>
        <v/>
      </c>
      <c r="J5" s="87"/>
      <c r="K5" s="88"/>
      <c r="L5" s="86" t="str">
        <f>DB!P14</f>
        <v>Res 1</v>
      </c>
      <c r="M5" s="87"/>
      <c r="N5" s="88"/>
      <c r="O5" s="86" t="str">
        <f>DB!P15</f>
        <v/>
      </c>
      <c r="P5" s="87"/>
      <c r="Q5" s="88"/>
      <c r="R5" s="86" t="str">
        <f>DB!P16</f>
        <v/>
      </c>
      <c r="S5" s="87"/>
      <c r="T5" s="88"/>
      <c r="U5" s="86" t="str">
        <f>DB!P17</f>
        <v/>
      </c>
      <c r="V5" s="87"/>
      <c r="W5" s="88"/>
      <c r="X5" s="86" t="str">
        <f>DB!P18</f>
        <v/>
      </c>
      <c r="Y5" s="87"/>
      <c r="Z5" s="88"/>
      <c r="AA5" s="86" t="str">
        <f>DB!P19</f>
        <v/>
      </c>
      <c r="AB5" s="87"/>
      <c r="AC5" s="88"/>
      <c r="AD5" s="106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</row>
    <row r="6" spans="1:55" ht="16.350000000000001" customHeight="1" thickTop="1" thickBot="1" x14ac:dyDescent="0.2">
      <c r="A6" s="94"/>
      <c r="B6" s="95"/>
      <c r="C6" s="95"/>
      <c r="D6" s="96"/>
      <c r="E6" s="49" t="s">
        <v>27</v>
      </c>
      <c r="F6" s="30">
        <v>1</v>
      </c>
      <c r="G6" s="31" t="s">
        <v>1</v>
      </c>
      <c r="H6" s="29">
        <v>2</v>
      </c>
      <c r="I6" s="30">
        <v>1</v>
      </c>
      <c r="J6" s="31" t="s">
        <v>1</v>
      </c>
      <c r="K6" s="29">
        <v>2</v>
      </c>
      <c r="L6" s="30">
        <v>1</v>
      </c>
      <c r="M6" s="31" t="s">
        <v>1</v>
      </c>
      <c r="N6" s="29">
        <v>2</v>
      </c>
      <c r="O6" s="30">
        <v>1</v>
      </c>
      <c r="P6" s="31" t="s">
        <v>1</v>
      </c>
      <c r="Q6" s="29">
        <v>2</v>
      </c>
      <c r="R6" s="30">
        <v>1</v>
      </c>
      <c r="S6" s="31" t="s">
        <v>1</v>
      </c>
      <c r="T6" s="29">
        <v>2</v>
      </c>
      <c r="U6" s="30">
        <v>1</v>
      </c>
      <c r="V6" s="31" t="s">
        <v>1</v>
      </c>
      <c r="W6" s="29">
        <v>2</v>
      </c>
      <c r="X6" s="30">
        <v>1</v>
      </c>
      <c r="Y6" s="31" t="s">
        <v>1</v>
      </c>
      <c r="Z6" s="29">
        <v>2</v>
      </c>
      <c r="AA6" s="30">
        <v>1</v>
      </c>
      <c r="AB6" s="31" t="s">
        <v>1</v>
      </c>
      <c r="AC6" s="29">
        <v>2</v>
      </c>
      <c r="AD6" s="98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</row>
    <row r="7" spans="1:55" ht="16.350000000000001" customHeight="1" thickTop="1" x14ac:dyDescent="0.15">
      <c r="A7" s="32"/>
      <c r="B7" s="33" t="str">
        <f>IF(F4&lt;&gt;"","1.","")</f>
        <v>1.</v>
      </c>
      <c r="C7" s="34" t="str">
        <f>IF(F4&lt;&gt;"",CONCATENATE(Kampe!B5," - ",Kampe!D5,"........................................................................................................."),"")</f>
        <v>Arsenal - Everton.........................................................................................................</v>
      </c>
      <c r="D7" s="35" t="s">
        <v>26</v>
      </c>
      <c r="E7" s="25">
        <v>1</v>
      </c>
      <c r="F7" s="27">
        <f>IF(Rækker!B7=1,1,"")</f>
        <v>1</v>
      </c>
      <c r="G7" s="36" t="str">
        <f>IF(Rækker!B7="X","X","")</f>
        <v/>
      </c>
      <c r="H7" s="28" t="str">
        <f>IF(Rækker!B7=2,2,"")</f>
        <v/>
      </c>
      <c r="I7" s="27">
        <f>IF(Rækker!D7=1,1,"")</f>
        <v>1</v>
      </c>
      <c r="J7" s="36" t="str">
        <f>IF(Rækker!D7="X","X","")</f>
        <v/>
      </c>
      <c r="K7" s="28" t="str">
        <f>IF(Rækker!D7=2,2,"")</f>
        <v/>
      </c>
      <c r="L7" s="27" t="str">
        <f>IF(Rækker!F7=1,1,"")</f>
        <v/>
      </c>
      <c r="M7" s="36" t="str">
        <f>IF(Rækker!F7="X","X","")</f>
        <v/>
      </c>
      <c r="N7" s="28" t="str">
        <f>IF(Rækker!F7=2,2,"")</f>
        <v/>
      </c>
      <c r="O7" s="27">
        <f>IF(Rækker!H7=1,1,"")</f>
        <v>1</v>
      </c>
      <c r="P7" s="36" t="str">
        <f>IF(Rækker!H7="X","X","")</f>
        <v/>
      </c>
      <c r="Q7" s="28" t="str">
        <f>IF(Rækker!H7=2,2,"")</f>
        <v/>
      </c>
      <c r="R7" s="27">
        <f>IF(Rækker!J7=1,1,"")</f>
        <v>1</v>
      </c>
      <c r="S7" s="36" t="str">
        <f>IF(Rækker!J7="X","X","")</f>
        <v/>
      </c>
      <c r="T7" s="28" t="str">
        <f>IF(Rækker!J7=2,2,"")</f>
        <v/>
      </c>
      <c r="U7" s="27" t="str">
        <f>IF(Rækker!L7=1,1,"")</f>
        <v/>
      </c>
      <c r="V7" s="36" t="str">
        <f>IF(Rækker!L7="X","X","")</f>
        <v/>
      </c>
      <c r="W7" s="28" t="str">
        <f>IF(Rækker!L7=2,2,"")</f>
        <v/>
      </c>
      <c r="X7" s="27" t="str">
        <f>IF(Rækker!N7=1,1,"")</f>
        <v/>
      </c>
      <c r="Y7" s="36" t="str">
        <f>IF(Rækker!N7="X","X","")</f>
        <v/>
      </c>
      <c r="Z7" s="28" t="str">
        <f>IF(Rækker!N7=2,2,"")</f>
        <v/>
      </c>
      <c r="AA7" s="27" t="str">
        <f>IF(Rækker!P7=1,1,"")</f>
        <v/>
      </c>
      <c r="AB7" s="36" t="str">
        <f>IF(Rækker!P7="X","X","")</f>
        <v/>
      </c>
      <c r="AC7" s="28" t="str">
        <f>IF(Rækker!P7=2,2,"")</f>
        <v/>
      </c>
      <c r="AD7" s="98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C7" s="48" t="s">
        <v>26</v>
      </c>
    </row>
    <row r="8" spans="1:55" ht="16.350000000000001" customHeight="1" x14ac:dyDescent="0.15">
      <c r="A8" s="32"/>
      <c r="B8" s="33" t="str">
        <f>IF(F4&lt;&gt;"","2.","")</f>
        <v>2.</v>
      </c>
      <c r="C8" s="34" t="str">
        <f>IF(F4&lt;&gt;"",CONCATENATE(Kampe!B6," - ",Kampe!D6,"........................................................................................................."),"")</f>
        <v>Coventry - Fulham.........................................................................................................</v>
      </c>
      <c r="D8" s="35" t="s">
        <v>26</v>
      </c>
      <c r="E8" s="23">
        <v>2</v>
      </c>
      <c r="F8" s="37" t="str">
        <f>IF(Rækker!B8=1,1,"")</f>
        <v/>
      </c>
      <c r="G8" s="38" t="str">
        <f>IF(Rækker!B8="X","X","")</f>
        <v/>
      </c>
      <c r="H8" s="39">
        <f>IF(Rækker!B8=2,2,"")</f>
        <v>2</v>
      </c>
      <c r="I8" s="37" t="str">
        <f>IF(Rækker!D8=1,1,"")</f>
        <v/>
      </c>
      <c r="J8" s="38" t="str">
        <f>IF(Rækker!D8="X","X","")</f>
        <v/>
      </c>
      <c r="K8" s="39">
        <f>IF(Rækker!D8=2,2,"")</f>
        <v>2</v>
      </c>
      <c r="L8" s="37" t="str">
        <f>IF(Rækker!F8=1,1,"")</f>
        <v/>
      </c>
      <c r="M8" s="38" t="str">
        <f>IF(Rækker!F8="X","X","")</f>
        <v/>
      </c>
      <c r="N8" s="39" t="str">
        <f>IF(Rækker!F8=2,2,"")</f>
        <v/>
      </c>
      <c r="O8" s="37" t="str">
        <f>IF(Rækker!H8=1,1,"")</f>
        <v/>
      </c>
      <c r="P8" s="38" t="str">
        <f>IF(Rækker!H8="X","X","")</f>
        <v>X</v>
      </c>
      <c r="Q8" s="39" t="str">
        <f>IF(Rækker!H8=2,2,"")</f>
        <v/>
      </c>
      <c r="R8" s="37" t="str">
        <f>IF(Rækker!J8=1,1,"")</f>
        <v/>
      </c>
      <c r="S8" s="38" t="str">
        <f>IF(Rækker!J8="X","X","")</f>
        <v>X</v>
      </c>
      <c r="T8" s="39" t="str">
        <f>IF(Rækker!J8=2,2,"")</f>
        <v/>
      </c>
      <c r="U8" s="37" t="str">
        <f>IF(Rækker!L8=1,1,"")</f>
        <v/>
      </c>
      <c r="V8" s="38" t="str">
        <f>IF(Rækker!L8="X","X","")</f>
        <v/>
      </c>
      <c r="W8" s="39" t="str">
        <f>IF(Rækker!L8=2,2,"")</f>
        <v/>
      </c>
      <c r="X8" s="37" t="str">
        <f>IF(Rækker!N8=1,1,"")</f>
        <v/>
      </c>
      <c r="Y8" s="38" t="str">
        <f>IF(Rækker!N8="X","X","")</f>
        <v/>
      </c>
      <c r="Z8" s="39" t="str">
        <f>IF(Rækker!N8=2,2,"")</f>
        <v/>
      </c>
      <c r="AA8" s="37" t="str">
        <f>IF(Rækker!P8=1,1,"")</f>
        <v/>
      </c>
      <c r="AB8" s="38" t="str">
        <f>IF(Rækker!P8="X","X","")</f>
        <v/>
      </c>
      <c r="AC8" s="39" t="str">
        <f>IF(Rækker!P8=2,2,"")</f>
        <v/>
      </c>
      <c r="AD8" s="98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</row>
    <row r="9" spans="1:55" ht="16.350000000000001" customHeight="1" thickBot="1" x14ac:dyDescent="0.2">
      <c r="A9" s="32"/>
      <c r="B9" s="40" t="str">
        <f>IF(F4&lt;&gt;"","3.","")</f>
        <v>3.</v>
      </c>
      <c r="C9" s="41" t="str">
        <f>IF(F4&lt;&gt;"",CONCATENATE(Kampe!B7," - ",Kampe!D7,"........................................................................................................."),"")</f>
        <v>Blackburn - Wrexham.........................................................................................................</v>
      </c>
      <c r="D9" s="35" t="s">
        <v>26</v>
      </c>
      <c r="E9" s="24">
        <v>1</v>
      </c>
      <c r="F9" s="42" t="str">
        <f>IF(Rækker!B9=1,1,"")</f>
        <v/>
      </c>
      <c r="G9" s="43" t="str">
        <f>IF(Rækker!B9="X","X","")</f>
        <v>X</v>
      </c>
      <c r="H9" s="44" t="str">
        <f>IF(Rækker!B9=2,2,"")</f>
        <v/>
      </c>
      <c r="I9" s="42" t="str">
        <f>IF(Rækker!D9=1,1,"")</f>
        <v/>
      </c>
      <c r="J9" s="43" t="str">
        <f>IF(Rækker!D9="X","X","")</f>
        <v/>
      </c>
      <c r="K9" s="44">
        <f>IF(Rækker!D9=2,2,"")</f>
        <v>2</v>
      </c>
      <c r="L9" s="42" t="str">
        <f>IF(Rækker!F9=1,1,"")</f>
        <v/>
      </c>
      <c r="M9" s="43" t="str">
        <f>IF(Rækker!F9="X","X","")</f>
        <v/>
      </c>
      <c r="N9" s="44" t="str">
        <f>IF(Rækker!F9=2,2,"")</f>
        <v/>
      </c>
      <c r="O9" s="42">
        <f>IF(Rækker!H9=1,1,"")</f>
        <v>1</v>
      </c>
      <c r="P9" s="43" t="str">
        <f>IF(Rækker!H9="X","X","")</f>
        <v/>
      </c>
      <c r="Q9" s="44" t="str">
        <f>IF(Rækker!H9=2,2,"")</f>
        <v/>
      </c>
      <c r="R9" s="42">
        <f>IF(Rækker!J9=1,1,"")</f>
        <v>1</v>
      </c>
      <c r="S9" s="43" t="str">
        <f>IF(Rækker!J9="X","X","")</f>
        <v/>
      </c>
      <c r="T9" s="44" t="str">
        <f>IF(Rækker!J9=2,2,"")</f>
        <v/>
      </c>
      <c r="U9" s="42" t="str">
        <f>IF(Rækker!L9=1,1,"")</f>
        <v/>
      </c>
      <c r="V9" s="43" t="str">
        <f>IF(Rækker!L9="X","X","")</f>
        <v/>
      </c>
      <c r="W9" s="44" t="str">
        <f>IF(Rækker!L9=2,2,"")</f>
        <v/>
      </c>
      <c r="X9" s="42" t="str">
        <f>IF(Rækker!N9=1,1,"")</f>
        <v/>
      </c>
      <c r="Y9" s="43" t="str">
        <f>IF(Rækker!N9="X","X","")</f>
        <v/>
      </c>
      <c r="Z9" s="44" t="str">
        <f>IF(Rækker!N9=2,2,"")</f>
        <v/>
      </c>
      <c r="AA9" s="42" t="str">
        <f>IF(Rækker!P9=1,1,"")</f>
        <v/>
      </c>
      <c r="AB9" s="43" t="str">
        <f>IF(Rækker!P9="X","X","")</f>
        <v/>
      </c>
      <c r="AC9" s="44" t="str">
        <f>IF(Rækker!P9=2,2,"")</f>
        <v/>
      </c>
      <c r="AD9" s="98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</row>
    <row r="10" spans="1:55" ht="16.350000000000001" customHeight="1" x14ac:dyDescent="0.15">
      <c r="A10" s="32"/>
      <c r="B10" s="33" t="str">
        <f>IF(F4&lt;&gt;"","4.","")</f>
        <v>4.</v>
      </c>
      <c r="C10" s="34" t="str">
        <f>IF(F4&lt;&gt;"",CONCATENATE(Kampe!B8," - ",Kampe!D8,"........................................................................................................."),"")</f>
        <v>Cardiff - Birmingham.........................................................................................................</v>
      </c>
      <c r="D10" s="35" t="s">
        <v>26</v>
      </c>
      <c r="E10" s="25">
        <v>1</v>
      </c>
      <c r="F10" s="45" t="str">
        <f>IF(Rækker!B10=1,1,"")</f>
        <v/>
      </c>
      <c r="G10" s="36" t="str">
        <f>IF(Rækker!B10="X","X","")</f>
        <v/>
      </c>
      <c r="H10" s="28">
        <f>IF(Rækker!B10=2,2,"")</f>
        <v>2</v>
      </c>
      <c r="I10" s="27" t="str">
        <f>IF(Rækker!D10=1,1,"")</f>
        <v/>
      </c>
      <c r="J10" s="36" t="str">
        <f>IF(Rækker!D10="X","X","")</f>
        <v/>
      </c>
      <c r="K10" s="28">
        <f>IF(Rækker!D10=2,2,"")</f>
        <v>2</v>
      </c>
      <c r="L10" s="27" t="str">
        <f>IF(Rækker!F10=1,1,"")</f>
        <v/>
      </c>
      <c r="M10" s="36" t="str">
        <f>IF(Rækker!F10="X","X","")</f>
        <v/>
      </c>
      <c r="N10" s="28" t="str">
        <f>IF(Rækker!F10=2,2,"")</f>
        <v/>
      </c>
      <c r="O10" s="27" t="str">
        <f>IF(Rækker!H10=1,1,"")</f>
        <v/>
      </c>
      <c r="P10" s="36" t="str">
        <f>IF(Rækker!H10="X","X","")</f>
        <v/>
      </c>
      <c r="Q10" s="28">
        <f>IF(Rækker!H10=2,2,"")</f>
        <v>2</v>
      </c>
      <c r="R10" s="27" t="str">
        <f>IF(Rækker!J10=1,1,"")</f>
        <v/>
      </c>
      <c r="S10" s="36" t="str">
        <f>IF(Rækker!J10="X","X","")</f>
        <v/>
      </c>
      <c r="T10" s="28">
        <f>IF(Rækker!J10=2,2,"")</f>
        <v>2</v>
      </c>
      <c r="U10" s="27" t="str">
        <f>IF(Rækker!L10=1,1,"")</f>
        <v/>
      </c>
      <c r="V10" s="36" t="str">
        <f>IF(Rækker!L10="X","X","")</f>
        <v/>
      </c>
      <c r="W10" s="28" t="str">
        <f>IF(Rækker!L10=2,2,"")</f>
        <v/>
      </c>
      <c r="X10" s="27" t="str">
        <f>IF(Rækker!N10=1,1,"")</f>
        <v/>
      </c>
      <c r="Y10" s="36" t="str">
        <f>IF(Rækker!N10="X","X","")</f>
        <v/>
      </c>
      <c r="Z10" s="28" t="str">
        <f>IF(Rækker!N10=2,2,"")</f>
        <v/>
      </c>
      <c r="AA10" s="27" t="str">
        <f>IF(Rækker!P10=1,1,"")</f>
        <v/>
      </c>
      <c r="AB10" s="36" t="str">
        <f>IF(Rækker!P10="X","X","")</f>
        <v/>
      </c>
      <c r="AC10" s="28" t="str">
        <f>IF(Rækker!P10=2,2,"")</f>
        <v/>
      </c>
      <c r="AD10" s="98" t="s">
        <v>6</v>
      </c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</row>
    <row r="11" spans="1:55" ht="16.350000000000001" customHeight="1" x14ac:dyDescent="0.15">
      <c r="A11" s="32"/>
      <c r="B11" s="33" t="str">
        <f>IF(F4&lt;&gt;"","5.","")</f>
        <v>5.</v>
      </c>
      <c r="C11" s="34" t="str">
        <f>IF(F4&lt;&gt;"",CONCATENATE(Kampe!B9," - ",Kampe!D9,"........................................................................................................."),"")</f>
        <v>Lincoln - Burnley.........................................................................................................</v>
      </c>
      <c r="D11" s="35" t="s">
        <v>26</v>
      </c>
      <c r="E11" s="23">
        <v>1</v>
      </c>
      <c r="F11" s="37" t="str">
        <f>IF(Rækker!B11=1,1,"")</f>
        <v/>
      </c>
      <c r="G11" s="38" t="str">
        <f>IF(Rækker!B11="X","X","")</f>
        <v/>
      </c>
      <c r="H11" s="39">
        <f>IF(Rækker!B11=2,2,"")</f>
        <v>2</v>
      </c>
      <c r="I11" s="37" t="str">
        <f>IF(Rækker!D11=1,1,"")</f>
        <v/>
      </c>
      <c r="J11" s="38" t="str">
        <f>IF(Rækker!D11="X","X","")</f>
        <v/>
      </c>
      <c r="K11" s="39">
        <f>IF(Rækker!D11=2,2,"")</f>
        <v>2</v>
      </c>
      <c r="L11" s="37" t="str">
        <f>IF(Rækker!F11=1,1,"")</f>
        <v/>
      </c>
      <c r="M11" s="38" t="str">
        <f>IF(Rækker!F11="X","X","")</f>
        <v/>
      </c>
      <c r="N11" s="39" t="str">
        <f>IF(Rækker!F11=2,2,"")</f>
        <v/>
      </c>
      <c r="O11" s="37" t="str">
        <f>IF(Rækker!H11=1,1,"")</f>
        <v/>
      </c>
      <c r="P11" s="38" t="str">
        <f>IF(Rækker!H11="X","X","")</f>
        <v/>
      </c>
      <c r="Q11" s="39">
        <f>IF(Rækker!H11=2,2,"")</f>
        <v>2</v>
      </c>
      <c r="R11" s="37" t="str">
        <f>IF(Rækker!J11=1,1,"")</f>
        <v/>
      </c>
      <c r="S11" s="38" t="str">
        <f>IF(Rækker!J11="X","X","")</f>
        <v/>
      </c>
      <c r="T11" s="39">
        <f>IF(Rækker!J11=2,2,"")</f>
        <v>2</v>
      </c>
      <c r="U11" s="37" t="str">
        <f>IF(Rækker!L11=1,1,"")</f>
        <v/>
      </c>
      <c r="V11" s="38" t="str">
        <f>IF(Rækker!L11="X","X","")</f>
        <v/>
      </c>
      <c r="W11" s="39" t="str">
        <f>IF(Rækker!L11=2,2,"")</f>
        <v/>
      </c>
      <c r="X11" s="37" t="str">
        <f>IF(Rækker!N11=1,1,"")</f>
        <v/>
      </c>
      <c r="Y11" s="38" t="str">
        <f>IF(Rækker!N11="X","X","")</f>
        <v/>
      </c>
      <c r="Z11" s="39" t="str">
        <f>IF(Rækker!N11=2,2,"")</f>
        <v/>
      </c>
      <c r="AA11" s="37" t="str">
        <f>IF(Rækker!P11=1,1,"")</f>
        <v/>
      </c>
      <c r="AB11" s="38" t="str">
        <f>IF(Rækker!P11="X","X","")</f>
        <v/>
      </c>
      <c r="AC11" s="39" t="str">
        <f>IF(Rækker!P11=2,2,"")</f>
        <v/>
      </c>
      <c r="AD11" s="98" t="s">
        <v>28</v>
      </c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</row>
    <row r="12" spans="1:55" ht="16.350000000000001" customHeight="1" thickBot="1" x14ac:dyDescent="0.2">
      <c r="A12" s="32"/>
      <c r="B12" s="40" t="str">
        <f>IF(F4&lt;&gt;"","6.","")</f>
        <v>6.</v>
      </c>
      <c r="C12" s="41" t="str">
        <f>IF(F4&lt;&gt;"",CONCATENATE(Kampe!B10," - ",Kampe!D10,"........................................................................................................."),"")</f>
        <v>Preston - West Bromwich.........................................................................................................</v>
      </c>
      <c r="D12" s="35" t="s">
        <v>26</v>
      </c>
      <c r="E12" s="24" t="s">
        <v>110</v>
      </c>
      <c r="F12" s="42" t="str">
        <f>IF(Rækker!B12=1,1,"")</f>
        <v/>
      </c>
      <c r="G12" s="43" t="str">
        <f>IF(Rækker!B12="X","X","")</f>
        <v/>
      </c>
      <c r="H12" s="44">
        <f>IF(Rækker!B12=2,2,"")</f>
        <v>2</v>
      </c>
      <c r="I12" s="42" t="str">
        <f>IF(Rækker!D12=1,1,"")</f>
        <v/>
      </c>
      <c r="J12" s="43" t="str">
        <f>IF(Rækker!D12="X","X","")</f>
        <v/>
      </c>
      <c r="K12" s="44">
        <f>IF(Rækker!D12=2,2,"")</f>
        <v>2</v>
      </c>
      <c r="L12" s="42" t="str">
        <f>IF(Rækker!F12=1,1,"")</f>
        <v/>
      </c>
      <c r="M12" s="43" t="str">
        <f>IF(Rækker!F12="X","X","")</f>
        <v/>
      </c>
      <c r="N12" s="44" t="str">
        <f>IF(Rækker!F12=2,2,"")</f>
        <v/>
      </c>
      <c r="O12" s="42" t="str">
        <f>IF(Rækker!H12=1,1,"")</f>
        <v/>
      </c>
      <c r="P12" s="43" t="str">
        <f>IF(Rækker!H12="X","X","")</f>
        <v/>
      </c>
      <c r="Q12" s="44">
        <f>IF(Rækker!H12=2,2,"")</f>
        <v>2</v>
      </c>
      <c r="R12" s="42" t="str">
        <f>IF(Rækker!J12=1,1,"")</f>
        <v/>
      </c>
      <c r="S12" s="43" t="str">
        <f>IF(Rækker!J12="X","X","")</f>
        <v/>
      </c>
      <c r="T12" s="44">
        <f>IF(Rækker!J12=2,2,"")</f>
        <v>2</v>
      </c>
      <c r="U12" s="42" t="str">
        <f>IF(Rækker!L12=1,1,"")</f>
        <v/>
      </c>
      <c r="V12" s="43" t="str">
        <f>IF(Rækker!L12="X","X","")</f>
        <v/>
      </c>
      <c r="W12" s="44" t="str">
        <f>IF(Rækker!L12=2,2,"")</f>
        <v/>
      </c>
      <c r="X12" s="42" t="str">
        <f>IF(Rækker!N12=1,1,"")</f>
        <v/>
      </c>
      <c r="Y12" s="43" t="str">
        <f>IF(Rækker!N12="X","X","")</f>
        <v/>
      </c>
      <c r="Z12" s="44" t="str">
        <f>IF(Rækker!N12=2,2,"")</f>
        <v/>
      </c>
      <c r="AA12" s="42" t="str">
        <f>IF(Rækker!P12=1,1,"")</f>
        <v/>
      </c>
      <c r="AB12" s="43" t="str">
        <f>IF(Rækker!P12="X","X","")</f>
        <v/>
      </c>
      <c r="AC12" s="44" t="str">
        <f>IF(Rækker!P12=2,2,"")</f>
        <v/>
      </c>
      <c r="AD12" s="98" t="s">
        <v>5</v>
      </c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</row>
    <row r="13" spans="1:55" ht="16.350000000000001" customHeight="1" x14ac:dyDescent="0.15">
      <c r="A13" s="32"/>
      <c r="B13" s="33" t="str">
        <f>IF(F4&lt;&gt;"","7.","")</f>
        <v>7.</v>
      </c>
      <c r="C13" s="34" t="str">
        <f>IF(F4&lt;&gt;"",CONCATENATE(Kampe!B11," - ",Kampe!D11,"........................................................................................................."),"")</f>
        <v>West Ham - Southampton.........................................................................................................</v>
      </c>
      <c r="D13" s="35" t="s">
        <v>26</v>
      </c>
      <c r="E13" s="25">
        <v>2</v>
      </c>
      <c r="F13" s="45">
        <f>IF(Rækker!B13=1,1,"")</f>
        <v>1</v>
      </c>
      <c r="G13" s="36" t="str">
        <f>IF(Rækker!B13="X","X","")</f>
        <v/>
      </c>
      <c r="H13" s="28" t="str">
        <f>IF(Rækker!B13=2,2,"")</f>
        <v/>
      </c>
      <c r="I13" s="27">
        <f>IF(Rækker!D13=1,1,"")</f>
        <v>1</v>
      </c>
      <c r="J13" s="36" t="str">
        <f>IF(Rækker!D13="X","X","")</f>
        <v/>
      </c>
      <c r="K13" s="28" t="str">
        <f>IF(Rækker!D13=2,2,"")</f>
        <v/>
      </c>
      <c r="L13" s="27" t="str">
        <f>IF(Rækker!F13=1,1,"")</f>
        <v/>
      </c>
      <c r="M13" s="36" t="str">
        <f>IF(Rækker!F13="X","X","")</f>
        <v/>
      </c>
      <c r="N13" s="28" t="str">
        <f>IF(Rækker!F13=2,2,"")</f>
        <v/>
      </c>
      <c r="O13" s="27">
        <f>IF(Rækker!H13=1,1,"")</f>
        <v>1</v>
      </c>
      <c r="P13" s="36" t="str">
        <f>IF(Rækker!H13="X","X","")</f>
        <v/>
      </c>
      <c r="Q13" s="28" t="str">
        <f>IF(Rækker!H13=2,2,"")</f>
        <v/>
      </c>
      <c r="R13" s="27">
        <f>IF(Rækker!J13=1,1,"")</f>
        <v>1</v>
      </c>
      <c r="S13" s="36" t="str">
        <f>IF(Rækker!J13="X","X","")</f>
        <v/>
      </c>
      <c r="T13" s="28" t="str">
        <f>IF(Rækker!J13=2,2,"")</f>
        <v/>
      </c>
      <c r="U13" s="27" t="str">
        <f>IF(Rækker!L13=1,1,"")</f>
        <v/>
      </c>
      <c r="V13" s="36" t="str">
        <f>IF(Rækker!L13="X","X","")</f>
        <v/>
      </c>
      <c r="W13" s="28" t="str">
        <f>IF(Rækker!L13=2,2,"")</f>
        <v/>
      </c>
      <c r="X13" s="27" t="str">
        <f>IF(Rækker!N13=1,1,"")</f>
        <v/>
      </c>
      <c r="Y13" s="36" t="str">
        <f>IF(Rækker!N13="X","X","")</f>
        <v/>
      </c>
      <c r="Z13" s="28" t="str">
        <f>IF(Rækker!N13=2,2,"")</f>
        <v/>
      </c>
      <c r="AA13" s="27" t="str">
        <f>IF(Rækker!P13=1,1,"")</f>
        <v/>
      </c>
      <c r="AB13" s="36" t="str">
        <f>IF(Rækker!P13="X","X","")</f>
        <v/>
      </c>
      <c r="AC13" s="28" t="str">
        <f>IF(Rækker!P13=2,2,"")</f>
        <v/>
      </c>
      <c r="AD13" s="98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</row>
    <row r="14" spans="1:55" ht="16.350000000000001" customHeight="1" x14ac:dyDescent="0.15">
      <c r="A14" s="32"/>
      <c r="B14" s="33" t="str">
        <f>IF(F4&lt;&gt;"","8.","")</f>
        <v>8.</v>
      </c>
      <c r="C14" s="34" t="str">
        <f>IF(F4&lt;&gt;"",CONCATENATE(Kampe!B12," - ",Kampe!D12,"........................................................................................................."),"")</f>
        <v>Stoke - Bristol C.........................................................................................................</v>
      </c>
      <c r="D14" s="35" t="s">
        <v>26</v>
      </c>
      <c r="E14" s="23" t="s">
        <v>110</v>
      </c>
      <c r="F14" s="37">
        <f>IF(Rækker!B14=1,1,"")</f>
        <v>1</v>
      </c>
      <c r="G14" s="38" t="str">
        <f>IF(Rækker!B14="X","X","")</f>
        <v/>
      </c>
      <c r="H14" s="39" t="str">
        <f>IF(Rækker!B14=2,2,"")</f>
        <v/>
      </c>
      <c r="I14" s="37">
        <f>IF(Rækker!D14=1,1,"")</f>
        <v>1</v>
      </c>
      <c r="J14" s="38" t="str">
        <f>IF(Rækker!D14="X","X","")</f>
        <v/>
      </c>
      <c r="K14" s="39" t="str">
        <f>IF(Rækker!D14=2,2,"")</f>
        <v/>
      </c>
      <c r="L14" s="37" t="str">
        <f>IF(Rækker!F14=1,1,"")</f>
        <v/>
      </c>
      <c r="M14" s="38" t="str">
        <f>IF(Rækker!F14="X","X","")</f>
        <v/>
      </c>
      <c r="N14" s="39" t="str">
        <f>IF(Rækker!F14=2,2,"")</f>
        <v/>
      </c>
      <c r="O14" s="37">
        <f>IF(Rækker!H14=1,1,"")</f>
        <v>1</v>
      </c>
      <c r="P14" s="38" t="str">
        <f>IF(Rækker!H14="X","X","")</f>
        <v/>
      </c>
      <c r="Q14" s="39" t="str">
        <f>IF(Rækker!H14=2,2,"")</f>
        <v/>
      </c>
      <c r="R14" s="37">
        <f>IF(Rækker!J14=1,1,"")</f>
        <v>1</v>
      </c>
      <c r="S14" s="38" t="str">
        <f>IF(Rækker!J14="X","X","")</f>
        <v/>
      </c>
      <c r="T14" s="39" t="str">
        <f>IF(Rækker!J14=2,2,"")</f>
        <v/>
      </c>
      <c r="U14" s="37" t="str">
        <f>IF(Rækker!L14=1,1,"")</f>
        <v/>
      </c>
      <c r="V14" s="38" t="str">
        <f>IF(Rækker!L14="X","X","")</f>
        <v/>
      </c>
      <c r="W14" s="39" t="str">
        <f>IF(Rækker!L14=2,2,"")</f>
        <v/>
      </c>
      <c r="X14" s="37" t="str">
        <f>IF(Rækker!N14=1,1,"")</f>
        <v/>
      </c>
      <c r="Y14" s="38" t="str">
        <f>IF(Rækker!N14="X","X","")</f>
        <v/>
      </c>
      <c r="Z14" s="39" t="str">
        <f>IF(Rækker!N14=2,2,"")</f>
        <v/>
      </c>
      <c r="AA14" s="37" t="str">
        <f>IF(Rækker!P14=1,1,"")</f>
        <v/>
      </c>
      <c r="AB14" s="38" t="str">
        <f>IF(Rækker!P14="X","X","")</f>
        <v/>
      </c>
      <c r="AC14" s="39" t="str">
        <f>IF(Rækker!P14=2,2,"")</f>
        <v/>
      </c>
      <c r="AD14" s="98" t="str">
        <f>DB!H1</f>
        <v>Grand Prix-række afgives til Bjarne Villadsen</v>
      </c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</row>
    <row r="15" spans="1:55" ht="16.350000000000001" customHeight="1" thickBot="1" x14ac:dyDescent="0.2">
      <c r="A15" s="32"/>
      <c r="B15" s="40" t="str">
        <f>IF(F4&lt;&gt;"","9.","")</f>
        <v>9.</v>
      </c>
      <c r="C15" s="41" t="str">
        <f>IF(F4&lt;&gt;"",CONCATENATE(Kampe!B13," - ",Kampe!D13,"........................................................................................................."),"")</f>
        <v>Queens Park R - Swansea.........................................................................................................</v>
      </c>
      <c r="D15" s="35" t="s">
        <v>26</v>
      </c>
      <c r="E15" s="24">
        <v>1</v>
      </c>
      <c r="F15" s="42" t="str">
        <f>IF(Rækker!B15=1,1,"")</f>
        <v/>
      </c>
      <c r="G15" s="43" t="str">
        <f>IF(Rækker!B15="X","X","")</f>
        <v/>
      </c>
      <c r="H15" s="44">
        <f>IF(Rækker!B15=2,2,"")</f>
        <v>2</v>
      </c>
      <c r="I15" s="42" t="str">
        <f>IF(Rækker!D15=1,1,"")</f>
        <v/>
      </c>
      <c r="J15" s="43" t="str">
        <f>IF(Rækker!D15="X","X","")</f>
        <v/>
      </c>
      <c r="K15" s="44">
        <f>IF(Rækker!D15=2,2,"")</f>
        <v>2</v>
      </c>
      <c r="L15" s="42" t="str">
        <f>IF(Rækker!F15=1,1,"")</f>
        <v/>
      </c>
      <c r="M15" s="43" t="str">
        <f>IF(Rækker!F15="X","X","")</f>
        <v/>
      </c>
      <c r="N15" s="44" t="str">
        <f>IF(Rækker!F15=2,2,"")</f>
        <v/>
      </c>
      <c r="O15" s="42">
        <f>IF(Rækker!H15=1,1,"")</f>
        <v>1</v>
      </c>
      <c r="P15" s="43" t="str">
        <f>IF(Rækker!H15="X","X","")</f>
        <v/>
      </c>
      <c r="Q15" s="44" t="str">
        <f>IF(Rækker!H15=2,2,"")</f>
        <v/>
      </c>
      <c r="R15" s="42">
        <f>IF(Rækker!J15=1,1,"")</f>
        <v>1</v>
      </c>
      <c r="S15" s="43" t="str">
        <f>IF(Rækker!J15="X","X","")</f>
        <v/>
      </c>
      <c r="T15" s="44" t="str">
        <f>IF(Rækker!J15=2,2,"")</f>
        <v/>
      </c>
      <c r="U15" s="42" t="str">
        <f>IF(Rækker!L15=1,1,"")</f>
        <v/>
      </c>
      <c r="V15" s="43" t="str">
        <f>IF(Rækker!L15="X","X","")</f>
        <v/>
      </c>
      <c r="W15" s="44" t="str">
        <f>IF(Rækker!L15=2,2,"")</f>
        <v/>
      </c>
      <c r="X15" s="42" t="str">
        <f>IF(Rækker!N15=1,1,"")</f>
        <v/>
      </c>
      <c r="Y15" s="43" t="str">
        <f>IF(Rækker!N15="X","X","")</f>
        <v/>
      </c>
      <c r="Z15" s="44" t="str">
        <f>IF(Rækker!N15=2,2,"")</f>
        <v/>
      </c>
      <c r="AA15" s="42" t="str">
        <f>IF(Rækker!P15=1,1,"")</f>
        <v/>
      </c>
      <c r="AB15" s="43" t="str">
        <f>IF(Rækker!P15="X","X","")</f>
        <v/>
      </c>
      <c r="AC15" s="44" t="str">
        <f>IF(Rækker!P15=2,2,"")</f>
        <v/>
      </c>
      <c r="AD15" s="98" t="str">
        <f>DB!H2</f>
        <v>Senest Onsdag kl. 23.00 i næste kampuge</v>
      </c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</row>
    <row r="16" spans="1:55" ht="16.350000000000001" customHeight="1" x14ac:dyDescent="0.15">
      <c r="A16" s="32"/>
      <c r="B16" s="33" t="str">
        <f>IF(F4&lt;&gt;"","10.","")</f>
        <v>10.</v>
      </c>
      <c r="C16" s="34" t="str">
        <f>IF(F4&lt;&gt;"",CONCATENATE(Kampe!B14," - ",Kampe!D14,"........................................................................................................."),"")</f>
        <v>Wolverhampton - Watford.........................................................................................................</v>
      </c>
      <c r="D16" s="35" t="s">
        <v>26</v>
      </c>
      <c r="E16" s="25">
        <v>1</v>
      </c>
      <c r="F16" s="45">
        <f>IF(Rækker!B16=1,1,"")</f>
        <v>1</v>
      </c>
      <c r="G16" s="36" t="str">
        <f>IF(Rækker!B16="X","X","")</f>
        <v/>
      </c>
      <c r="H16" s="28" t="str">
        <f>IF(Rækker!B16=2,2,"")</f>
        <v/>
      </c>
      <c r="I16" s="27">
        <f>IF(Rækker!D16=1,1,"")</f>
        <v>1</v>
      </c>
      <c r="J16" s="36" t="str">
        <f>IF(Rækker!D16="X","X","")</f>
        <v/>
      </c>
      <c r="K16" s="28" t="str">
        <f>IF(Rækker!D16=2,2,"")</f>
        <v/>
      </c>
      <c r="L16" s="27" t="str">
        <f>IF(Rækker!F16=1,1,"")</f>
        <v/>
      </c>
      <c r="M16" s="36" t="str">
        <f>IF(Rækker!F16="X","X","")</f>
        <v/>
      </c>
      <c r="N16" s="28" t="str">
        <f>IF(Rækker!F16=2,2,"")</f>
        <v/>
      </c>
      <c r="O16" s="27">
        <f>IF(Rækker!H16=1,1,"")</f>
        <v>1</v>
      </c>
      <c r="P16" s="36" t="str">
        <f>IF(Rækker!H16="X","X","")</f>
        <v/>
      </c>
      <c r="Q16" s="28" t="str">
        <f>IF(Rækker!H16=2,2,"")</f>
        <v/>
      </c>
      <c r="R16" s="27">
        <f>IF(Rækker!J16=1,1,"")</f>
        <v>1</v>
      </c>
      <c r="S16" s="36" t="str">
        <f>IF(Rækker!J16="X","X","")</f>
        <v/>
      </c>
      <c r="T16" s="28" t="str">
        <f>IF(Rækker!J16=2,2,"")</f>
        <v/>
      </c>
      <c r="U16" s="27" t="str">
        <f>IF(Rækker!L16=1,1,"")</f>
        <v/>
      </c>
      <c r="V16" s="36" t="str">
        <f>IF(Rækker!L16="X","X","")</f>
        <v/>
      </c>
      <c r="W16" s="28" t="str">
        <f>IF(Rækker!L16=2,2,"")</f>
        <v/>
      </c>
      <c r="X16" s="27" t="str">
        <f>IF(Rækker!N16=1,1,"")</f>
        <v/>
      </c>
      <c r="Y16" s="36" t="str">
        <f>IF(Rækker!N16="X","X","")</f>
        <v/>
      </c>
      <c r="Z16" s="28" t="str">
        <f>IF(Rækker!N16=2,2,"")</f>
        <v/>
      </c>
      <c r="AA16" s="27" t="str">
        <f>IF(Rækker!P16=1,1,"")</f>
        <v/>
      </c>
      <c r="AB16" s="36" t="str">
        <f>IF(Rækker!P16="X","X","")</f>
        <v/>
      </c>
      <c r="AC16" s="28" t="str">
        <f>IF(Rækker!P16=2,2,"")</f>
        <v/>
      </c>
      <c r="AD16" s="98" t="str">
        <f>DB!H3</f>
        <v>på tlf.: 20 46 98 75 eller på email: lundstipsforening@gmail</v>
      </c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</row>
    <row r="17" spans="1:53" ht="16.350000000000001" customHeight="1" x14ac:dyDescent="0.15">
      <c r="A17" s="32"/>
      <c r="B17" s="33" t="str">
        <f>IF(F4&lt;&gt;"","11.","")</f>
        <v>11.</v>
      </c>
      <c r="C17" s="34" t="str">
        <f>IF(F4&lt;&gt;"",CONCATENATE(Kampe!B15," - ",Kampe!D15,"........................................................................................................."),"")</f>
        <v>Blackpool - Mansfield.........................................................................................................</v>
      </c>
      <c r="D17" s="35" t="s">
        <v>26</v>
      </c>
      <c r="E17" s="23">
        <v>2</v>
      </c>
      <c r="F17" s="37" t="str">
        <f>IF(Rækker!B17=1,1,"")</f>
        <v/>
      </c>
      <c r="G17" s="38" t="str">
        <f>IF(Rækker!B17="X","X","")</f>
        <v/>
      </c>
      <c r="H17" s="39">
        <f>IF(Rækker!B17=2,2,"")</f>
        <v>2</v>
      </c>
      <c r="I17" s="37" t="str">
        <f>IF(Rækker!D17=1,1,"")</f>
        <v/>
      </c>
      <c r="J17" s="38" t="str">
        <f>IF(Rækker!D17="X","X","")</f>
        <v>X</v>
      </c>
      <c r="K17" s="39" t="str">
        <f>IF(Rækker!D17=2,2,"")</f>
        <v/>
      </c>
      <c r="L17" s="37" t="str">
        <f>IF(Rækker!F17=1,1,"")</f>
        <v/>
      </c>
      <c r="M17" s="38" t="str">
        <f>IF(Rækker!F17="X","X","")</f>
        <v/>
      </c>
      <c r="N17" s="39" t="str">
        <f>IF(Rækker!F17=2,2,"")</f>
        <v/>
      </c>
      <c r="O17" s="37" t="str">
        <f>IF(Rækker!H17=1,1,"")</f>
        <v/>
      </c>
      <c r="P17" s="38" t="str">
        <f>IF(Rækker!H17="X","X","")</f>
        <v/>
      </c>
      <c r="Q17" s="39">
        <f>IF(Rækker!H17=2,2,"")</f>
        <v>2</v>
      </c>
      <c r="R17" s="37" t="str">
        <f>IF(Rækker!J17=1,1,"")</f>
        <v/>
      </c>
      <c r="S17" s="38" t="str">
        <f>IF(Rækker!J17="X","X","")</f>
        <v/>
      </c>
      <c r="T17" s="39">
        <f>IF(Rækker!J17=2,2,"")</f>
        <v>2</v>
      </c>
      <c r="U17" s="37" t="str">
        <f>IF(Rækker!L17=1,1,"")</f>
        <v/>
      </c>
      <c r="V17" s="38" t="str">
        <f>IF(Rækker!L17="X","X","")</f>
        <v/>
      </c>
      <c r="W17" s="39" t="str">
        <f>IF(Rækker!L17=2,2,"")</f>
        <v/>
      </c>
      <c r="X17" s="37" t="str">
        <f>IF(Rækker!N17=1,1,"")</f>
        <v/>
      </c>
      <c r="Y17" s="38" t="str">
        <f>IF(Rækker!N17="X","X","")</f>
        <v/>
      </c>
      <c r="Z17" s="39" t="str">
        <f>IF(Rækker!N17=2,2,"")</f>
        <v/>
      </c>
      <c r="AA17" s="37" t="str">
        <f>IF(Rækker!P17=1,1,"")</f>
        <v/>
      </c>
      <c r="AB17" s="38" t="str">
        <f>IF(Rækker!P17="X","X","")</f>
        <v/>
      </c>
      <c r="AC17" s="39" t="str">
        <f>IF(Rækker!P17=2,2,"")</f>
        <v/>
      </c>
      <c r="AD17" s="98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</row>
    <row r="18" spans="1:53" ht="16.350000000000001" customHeight="1" x14ac:dyDescent="0.15">
      <c r="A18" s="32"/>
      <c r="B18" s="33" t="str">
        <f>IF(F4&lt;&gt;"","12.","")</f>
        <v>12.</v>
      </c>
      <c r="C18" s="34" t="str">
        <f>IF(F4&lt;&gt;"",CONCATENATE(Kampe!B16," - ",Kampe!D16,"........................................................................................................."),"")</f>
        <v>Stevenage - Milton Keynes Dons.........................................................................................................</v>
      </c>
      <c r="D18" s="35" t="s">
        <v>26</v>
      </c>
      <c r="E18" s="23">
        <v>2</v>
      </c>
      <c r="F18" s="37">
        <f>IF(Rækker!B18=1,1,"")</f>
        <v>1</v>
      </c>
      <c r="G18" s="38" t="str">
        <f>IF(Rækker!B18="X","X","")</f>
        <v/>
      </c>
      <c r="H18" s="39" t="str">
        <f>IF(Rækker!B18=2,2,"")</f>
        <v/>
      </c>
      <c r="I18" s="37">
        <f>IF(Rækker!D18=1,1,"")</f>
        <v>1</v>
      </c>
      <c r="J18" s="38" t="str">
        <f>IF(Rækker!D18="X","X","")</f>
        <v/>
      </c>
      <c r="K18" s="39" t="str">
        <f>IF(Rækker!D18=2,2,"")</f>
        <v/>
      </c>
      <c r="L18" s="37" t="str">
        <f>IF(Rækker!F18=1,1,"")</f>
        <v/>
      </c>
      <c r="M18" s="38" t="str">
        <f>IF(Rækker!F18="X","X","")</f>
        <v/>
      </c>
      <c r="N18" s="39" t="str">
        <f>IF(Rækker!F18=2,2,"")</f>
        <v/>
      </c>
      <c r="O18" s="37">
        <f>IF(Rækker!H18=1,1,"")</f>
        <v>1</v>
      </c>
      <c r="P18" s="38" t="str">
        <f>IF(Rækker!H18="X","X","")</f>
        <v/>
      </c>
      <c r="Q18" s="39" t="str">
        <f>IF(Rækker!H18=2,2,"")</f>
        <v/>
      </c>
      <c r="R18" s="37">
        <f>IF(Rækker!J18=1,1,"")</f>
        <v>1</v>
      </c>
      <c r="S18" s="38" t="str">
        <f>IF(Rækker!J18="X","X","")</f>
        <v/>
      </c>
      <c r="T18" s="39" t="str">
        <f>IF(Rækker!J18=2,2,"")</f>
        <v/>
      </c>
      <c r="U18" s="37" t="str">
        <f>IF(Rækker!L18=1,1,"")</f>
        <v/>
      </c>
      <c r="V18" s="38" t="str">
        <f>IF(Rækker!L18="X","X","")</f>
        <v/>
      </c>
      <c r="W18" s="39" t="str">
        <f>IF(Rækker!L18=2,2,"")</f>
        <v/>
      </c>
      <c r="X18" s="37" t="str">
        <f>IF(Rækker!N18=1,1,"")</f>
        <v/>
      </c>
      <c r="Y18" s="38" t="str">
        <f>IF(Rækker!N18="X","X","")</f>
        <v/>
      </c>
      <c r="Z18" s="39" t="str">
        <f>IF(Rækker!N18=2,2,"")</f>
        <v/>
      </c>
      <c r="AA18" s="37" t="str">
        <f>IF(Rækker!P18=1,1,"")</f>
        <v/>
      </c>
      <c r="AB18" s="38" t="str">
        <f>IF(Rækker!P18="X","X","")</f>
        <v/>
      </c>
      <c r="AC18" s="39" t="str">
        <f>IF(Rækker!P18=2,2,"")</f>
        <v/>
      </c>
      <c r="AD18" s="98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</row>
    <row r="19" spans="1:53" ht="16.350000000000001" customHeight="1" thickBot="1" x14ac:dyDescent="0.2">
      <c r="A19" s="32"/>
      <c r="B19" s="33" t="str">
        <f>IF(F4&lt;&gt;"","13.","")</f>
        <v>13.</v>
      </c>
      <c r="C19" s="34" t="str">
        <f>IF(F4&lt;&gt;"",CONCATENATE(Kampe!B17," - ",Kampe!D17,"........................................................................................................."),"")</f>
        <v>AFC Wimbledon - Wycombe.........................................................................................................</v>
      </c>
      <c r="D19" s="35" t="s">
        <v>26</v>
      </c>
      <c r="E19" s="26" t="s">
        <v>110</v>
      </c>
      <c r="F19" s="45" t="str">
        <f>IF(Rækker!B19=1,1,"")</f>
        <v/>
      </c>
      <c r="G19" s="36" t="str">
        <f>IF(Rækker!B19="X","X","")</f>
        <v/>
      </c>
      <c r="H19" s="28">
        <f>IF(Rækker!B19=2,2,"")</f>
        <v>2</v>
      </c>
      <c r="I19" s="27" t="str">
        <f>IF(Rækker!D19=1,1,"")</f>
        <v/>
      </c>
      <c r="J19" s="36" t="str">
        <f>IF(Rækker!D19="X","X","")</f>
        <v/>
      </c>
      <c r="K19" s="28">
        <f>IF(Rækker!D19=2,2,"")</f>
        <v>2</v>
      </c>
      <c r="L19" s="27" t="str">
        <f>IF(Rækker!F19=1,1,"")</f>
        <v/>
      </c>
      <c r="M19" s="36" t="str">
        <f>IF(Rækker!F19="X","X","")</f>
        <v/>
      </c>
      <c r="N19" s="28" t="str">
        <f>IF(Rækker!F19=2,2,"")</f>
        <v/>
      </c>
      <c r="O19" s="27" t="str">
        <f>IF(Rækker!H19=1,1,"")</f>
        <v/>
      </c>
      <c r="P19" s="36" t="str">
        <f>IF(Rækker!H19="X","X","")</f>
        <v/>
      </c>
      <c r="Q19" s="28">
        <f>IF(Rækker!H19=2,2,"")</f>
        <v>2</v>
      </c>
      <c r="R19" s="27" t="str">
        <f>IF(Rækker!J19=1,1,"")</f>
        <v/>
      </c>
      <c r="S19" s="36" t="str">
        <f>IF(Rækker!J19="X","X","")</f>
        <v/>
      </c>
      <c r="T19" s="28">
        <f>IF(Rækker!J19=2,2,"")</f>
        <v>2</v>
      </c>
      <c r="U19" s="27" t="str">
        <f>IF(Rækker!L19=1,1,"")</f>
        <v/>
      </c>
      <c r="V19" s="36" t="str">
        <f>IF(Rækker!L19="X","X","")</f>
        <v/>
      </c>
      <c r="W19" s="28" t="str">
        <f>IF(Rækker!L19=2,2,"")</f>
        <v/>
      </c>
      <c r="X19" s="27" t="str">
        <f>IF(Rækker!N19=1,1,"")</f>
        <v/>
      </c>
      <c r="Y19" s="36" t="str">
        <f>IF(Rækker!N19="X","X","")</f>
        <v/>
      </c>
      <c r="Z19" s="28" t="str">
        <f>IF(Rækker!N19=2,2,"")</f>
        <v/>
      </c>
      <c r="AA19" s="27" t="str">
        <f>IF(Rækker!P19=1,1,"")</f>
        <v/>
      </c>
      <c r="AB19" s="36" t="str">
        <f>IF(Rækker!P19="X","X","")</f>
        <v/>
      </c>
      <c r="AC19" s="28" t="str">
        <f>IF(Rækker!P19=2,2,"")</f>
        <v/>
      </c>
      <c r="AD19" s="98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</row>
    <row r="20" spans="1:53" ht="16.350000000000001" customHeight="1" thickTop="1" thickBot="1" x14ac:dyDescent="0.2">
      <c r="A20" s="92" t="str">
        <f>IF(F4&lt;&gt;"","Resultat: ","")</f>
        <v xml:space="preserve">Resultat: </v>
      </c>
      <c r="B20" s="93"/>
      <c r="C20" s="93"/>
      <c r="D20" s="93"/>
      <c r="E20" s="46"/>
      <c r="F20" s="83">
        <f>IF(DB!B6=13,IF(F4&lt;&gt;"",IF(F5&lt;&gt;"",IF(OR(LEFT(F5,3)="Res",LEFT(F5,2)="MR"),DB!AD12,""),DB!AD12),""),"")</f>
        <v>4</v>
      </c>
      <c r="G20" s="84"/>
      <c r="H20" s="85"/>
      <c r="I20" s="83">
        <f>IF(DB!B6=13,IF(I4&lt;&gt;"",IF(I5&lt;&gt;"",IF(OR(LEFT(I5,3)="Res",LEFT(I5,2)="MR"),DB!AD13,""),DB!AD13),""),"")</f>
        <v>3</v>
      </c>
      <c r="J20" s="84"/>
      <c r="K20" s="85"/>
      <c r="L20" s="83">
        <f>IF(DB!B6=13,IF(L4&lt;&gt;"",IF(L5&lt;&gt;"",IF(OR(LEFT(L5,3)="Res",LEFT(L5,2)="MR"),DB!AD14,""),DB!AD14),""),"")</f>
        <v>4</v>
      </c>
      <c r="M20" s="84"/>
      <c r="N20" s="85"/>
      <c r="O20" s="83">
        <f>IF(DB!B6=13,IF(O4&lt;&gt;"",IF(O5&lt;&gt;"",IF(OR(LEFT(O5,3)="Res",LEFT(O5,2)="MR"),DB!AD15,""),DB!AD15),""),"")</f>
        <v>5</v>
      </c>
      <c r="P20" s="84"/>
      <c r="Q20" s="85"/>
      <c r="R20" s="83">
        <f>IF(DB!B6=13,IF(R4&lt;&gt;"",IF(R5&lt;&gt;"",IF(OR(LEFT(R5,3)="Res",LEFT(R5,2)="MR"),DB!AD16,""),DB!AD16),""),"")</f>
        <v>5</v>
      </c>
      <c r="S20" s="84"/>
      <c r="T20" s="85"/>
      <c r="U20" s="83" t="str">
        <f>IF(DB!B6=13,IF(U4&lt;&gt;"",IF(U5&lt;&gt;"",IF(OR(LEFT(U5,3)="Res",LEFT(U5,2)="MR"),DB!AD17,""),DB!AD17),""),"")</f>
        <v/>
      </c>
      <c r="V20" s="84"/>
      <c r="W20" s="85"/>
      <c r="X20" s="83" t="str">
        <f>IF(DB!B6=13,IF(X4&lt;&gt;"",IF(X5&lt;&gt;"",IF(OR(LEFT(X5,3)="Res",LEFT(X5,2)="MR"),DB!AD18,""),DB!AD18),""),"")</f>
        <v/>
      </c>
      <c r="Y20" s="84"/>
      <c r="Z20" s="85"/>
      <c r="AA20" s="83" t="str">
        <f>IF(DB!B6=13,IF(AA4&lt;&gt;"",IF(AA5&lt;&gt;"",IF(OR(LEFT(AA5,3)="Res",LEFT(AA5,2)="MR"),DB!AD19,""),DB!AD19),""),"")</f>
        <v/>
      </c>
      <c r="AB20" s="84"/>
      <c r="AC20" s="85"/>
      <c r="AD20" s="98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</row>
    <row r="21" spans="1:53" ht="16.350000000000001" customHeight="1" thickTop="1" x14ac:dyDescent="0.1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</row>
    <row r="22" spans="1:53" ht="16.350000000000001" customHeight="1" x14ac:dyDescent="0.15">
      <c r="A22" s="70"/>
      <c r="B22" s="70"/>
      <c r="C22" s="70"/>
      <c r="D22" s="70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16.350000000000001" customHeight="1" x14ac:dyDescent="0.15">
      <c r="A23" s="70"/>
      <c r="B23" s="70"/>
      <c r="C23" s="70"/>
      <c r="D23" s="70"/>
      <c r="E23" s="71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</row>
    <row r="24" spans="1:53" ht="16.350000000000001" customHeight="1" x14ac:dyDescent="0.15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</row>
    <row r="25" spans="1:53" ht="16.350000000000001" customHeight="1" x14ac:dyDescent="0.15">
      <c r="A25" s="70"/>
      <c r="B25" s="70"/>
      <c r="C25" s="70"/>
      <c r="D25" s="70"/>
      <c r="E25" s="72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</row>
    <row r="26" spans="1:53" ht="16.350000000000001" customHeight="1" x14ac:dyDescent="0.15">
      <c r="A26" s="70"/>
      <c r="B26" s="70"/>
      <c r="C26" s="70"/>
      <c r="D26" s="70"/>
      <c r="E26" s="72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</row>
    <row r="27" spans="1:53" ht="16.350000000000001" customHeight="1" x14ac:dyDescent="0.15">
      <c r="A27" s="70"/>
      <c r="B27" s="70"/>
      <c r="C27" s="70"/>
      <c r="D27" s="70"/>
      <c r="E27" s="72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</row>
    <row r="28" spans="1:53" ht="16.350000000000001" customHeight="1" x14ac:dyDescent="0.15">
      <c r="A28" s="70"/>
      <c r="B28" s="70"/>
      <c r="C28" s="70"/>
      <c r="D28" s="70"/>
      <c r="E28" s="72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</row>
    <row r="29" spans="1:53" ht="16.350000000000001" customHeight="1" x14ac:dyDescent="0.15">
      <c r="A29" s="70"/>
      <c r="B29" s="70"/>
      <c r="C29" s="70"/>
      <c r="D29" s="70"/>
      <c r="E29" s="72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</row>
    <row r="30" spans="1:53" ht="16.350000000000001" customHeight="1" x14ac:dyDescent="0.15">
      <c r="A30" s="70"/>
      <c r="B30" s="70"/>
      <c r="C30" s="70"/>
      <c r="D30" s="70"/>
      <c r="E30" s="72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</row>
    <row r="31" spans="1:53" ht="16.350000000000001" customHeight="1" x14ac:dyDescent="0.15">
      <c r="A31" s="70"/>
      <c r="B31" s="70"/>
      <c r="C31" s="70"/>
      <c r="D31" s="70"/>
      <c r="E31" s="72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</row>
    <row r="32" spans="1:53" ht="16.350000000000001" customHeight="1" x14ac:dyDescent="0.15">
      <c r="A32" s="70"/>
      <c r="B32" s="70"/>
      <c r="C32" s="70"/>
      <c r="D32" s="70"/>
      <c r="E32" s="72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</row>
    <row r="33" spans="1:53" ht="16.350000000000001" customHeight="1" x14ac:dyDescent="0.15">
      <c r="A33" s="70"/>
      <c r="B33" s="70"/>
      <c r="C33" s="70"/>
      <c r="D33" s="70"/>
      <c r="E33" s="7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</row>
    <row r="34" spans="1:53" ht="16.350000000000001" customHeight="1" x14ac:dyDescent="0.15">
      <c r="A34" s="70"/>
      <c r="B34" s="70"/>
      <c r="C34" s="70"/>
      <c r="D34" s="70"/>
      <c r="E34" s="72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</row>
    <row r="35" spans="1:53" ht="16.350000000000001" customHeight="1" x14ac:dyDescent="0.15">
      <c r="A35" s="70"/>
      <c r="B35" s="70"/>
      <c r="C35" s="70"/>
      <c r="D35" s="70"/>
      <c r="E35" s="7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</row>
    <row r="36" spans="1:53" ht="16.350000000000001" customHeight="1" x14ac:dyDescent="0.15">
      <c r="A36" s="70"/>
      <c r="B36" s="70"/>
      <c r="C36" s="70"/>
      <c r="D36" s="70"/>
      <c r="E36" s="72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</row>
    <row r="37" spans="1:53" ht="16.350000000000001" customHeight="1" x14ac:dyDescent="0.15">
      <c r="A37" s="70"/>
      <c r="B37" s="70"/>
      <c r="C37" s="70"/>
      <c r="D37" s="70"/>
      <c r="E37" s="7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</row>
    <row r="38" spans="1:53" ht="16.350000000000001" customHeight="1" x14ac:dyDescent="0.1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</row>
    <row r="39" spans="1:53" ht="16.350000000000001" customHeight="1" x14ac:dyDescent="0.15">
      <c r="A39" s="70"/>
      <c r="B39" s="70"/>
      <c r="C39" s="70"/>
      <c r="D39" s="70"/>
      <c r="E39" s="70"/>
      <c r="F39" s="71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</row>
    <row r="40" spans="1:53" ht="75.75" customHeight="1" x14ac:dyDescent="0.15">
      <c r="A40" s="70"/>
      <c r="B40" s="70"/>
      <c r="C40" s="70"/>
      <c r="D40" s="70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</row>
    <row r="41" spans="1:53" ht="16.350000000000001" customHeight="1" x14ac:dyDescent="0.15">
      <c r="A41" s="70"/>
      <c r="B41" s="70"/>
      <c r="C41" s="70"/>
      <c r="D41" s="70"/>
      <c r="E41" s="71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</row>
    <row r="42" spans="1:53" ht="16.350000000000001" customHeight="1" x14ac:dyDescent="0.15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</row>
    <row r="43" spans="1:53" ht="16.350000000000001" customHeight="1" x14ac:dyDescent="0.15">
      <c r="A43" s="70"/>
      <c r="B43" s="70"/>
      <c r="C43" s="70"/>
      <c r="D43" s="70"/>
      <c r="E43" s="72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</row>
    <row r="44" spans="1:53" ht="16.350000000000001" customHeight="1" x14ac:dyDescent="0.15">
      <c r="A44" s="70"/>
      <c r="B44" s="70"/>
      <c r="C44" s="70"/>
      <c r="D44" s="70"/>
      <c r="E44" s="72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</row>
    <row r="45" spans="1:53" ht="16.350000000000001" customHeight="1" x14ac:dyDescent="0.15">
      <c r="A45" s="70"/>
      <c r="B45" s="70"/>
      <c r="C45" s="70"/>
      <c r="D45" s="70"/>
      <c r="E45" s="72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</row>
    <row r="46" spans="1:53" ht="16.350000000000001" customHeight="1" x14ac:dyDescent="0.15">
      <c r="A46" s="70"/>
      <c r="B46" s="70"/>
      <c r="C46" s="70"/>
      <c r="D46" s="70"/>
      <c r="E46" s="72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</row>
    <row r="47" spans="1:53" ht="16.350000000000001" customHeight="1" x14ac:dyDescent="0.15">
      <c r="A47" s="70"/>
      <c r="B47" s="70"/>
      <c r="C47" s="70"/>
      <c r="D47" s="70"/>
      <c r="E47" s="72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</row>
    <row r="48" spans="1:53" ht="16.350000000000001" customHeight="1" x14ac:dyDescent="0.15">
      <c r="A48" s="70"/>
      <c r="B48" s="70"/>
      <c r="C48" s="70"/>
      <c r="D48" s="70"/>
      <c r="E48" s="72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</row>
    <row r="49" spans="1:53" ht="16.350000000000001" customHeight="1" x14ac:dyDescent="0.15">
      <c r="A49" s="70"/>
      <c r="B49" s="70"/>
      <c r="C49" s="70"/>
      <c r="D49" s="70"/>
      <c r="E49" s="72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</row>
    <row r="50" spans="1:53" ht="16.350000000000001" customHeight="1" x14ac:dyDescent="0.15">
      <c r="A50" s="70"/>
      <c r="B50" s="70"/>
      <c r="C50" s="70"/>
      <c r="D50" s="70"/>
      <c r="E50" s="72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</row>
    <row r="51" spans="1:53" ht="16.350000000000001" customHeight="1" x14ac:dyDescent="0.15">
      <c r="A51" s="70"/>
      <c r="B51" s="70"/>
      <c r="C51" s="70"/>
      <c r="D51" s="70"/>
      <c r="E51" s="72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</row>
    <row r="52" spans="1:53" ht="16.350000000000001" customHeight="1" x14ac:dyDescent="0.15">
      <c r="A52" s="70"/>
      <c r="B52" s="70"/>
      <c r="C52" s="70"/>
      <c r="D52" s="70"/>
      <c r="E52" s="72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</row>
    <row r="53" spans="1:53" ht="16.350000000000001" customHeight="1" x14ac:dyDescent="0.15">
      <c r="A53" s="70"/>
      <c r="B53" s="70"/>
      <c r="C53" s="70"/>
      <c r="D53" s="70"/>
      <c r="E53" s="72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</row>
    <row r="54" spans="1:53" ht="16.350000000000001" customHeight="1" x14ac:dyDescent="0.15">
      <c r="A54" s="70"/>
      <c r="B54" s="70"/>
      <c r="C54" s="70"/>
      <c r="D54" s="70"/>
      <c r="E54" s="72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</row>
    <row r="55" spans="1:53" ht="16.350000000000001" customHeight="1" x14ac:dyDescent="0.15">
      <c r="A55" s="70"/>
      <c r="B55" s="70"/>
      <c r="C55" s="70"/>
      <c r="D55" s="70"/>
      <c r="E55" s="72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</row>
    <row r="56" spans="1:53" ht="16.350000000000001" customHeight="1" x14ac:dyDescent="0.1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</row>
    <row r="57" spans="1:53" ht="16.350000000000001" customHeight="1" x14ac:dyDescent="0.15">
      <c r="A57" s="70"/>
      <c r="B57" s="70"/>
      <c r="C57" s="70"/>
      <c r="D57" s="70"/>
      <c r="E57" s="70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</row>
    <row r="58" spans="1:53" ht="75.75" customHeight="1" x14ac:dyDescent="0.15">
      <c r="A58" s="70"/>
      <c r="B58" s="70"/>
      <c r="C58" s="70"/>
      <c r="D58" s="70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16.350000000000001" customHeight="1" x14ac:dyDescent="0.15">
      <c r="A59" s="70"/>
      <c r="B59" s="70"/>
      <c r="C59" s="70"/>
      <c r="D59" s="70"/>
      <c r="E59" s="71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</row>
    <row r="60" spans="1:53" ht="16.350000000000001" customHeight="1" x14ac:dyDescent="0.15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</row>
    <row r="61" spans="1:53" ht="16.350000000000001" customHeight="1" x14ac:dyDescent="0.15">
      <c r="A61" s="70"/>
      <c r="B61" s="70"/>
      <c r="C61" s="70"/>
      <c r="D61" s="70"/>
      <c r="E61" s="72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</row>
    <row r="62" spans="1:53" ht="16.350000000000001" customHeight="1" x14ac:dyDescent="0.15">
      <c r="A62" s="70"/>
      <c r="B62" s="70"/>
      <c r="C62" s="70"/>
      <c r="D62" s="70"/>
      <c r="E62" s="72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</row>
    <row r="63" spans="1:53" ht="16.350000000000001" customHeight="1" x14ac:dyDescent="0.15">
      <c r="A63" s="70"/>
      <c r="B63" s="70"/>
      <c r="C63" s="70"/>
      <c r="D63" s="70"/>
      <c r="E63" s="72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</row>
    <row r="64" spans="1:53" ht="16.350000000000001" customHeight="1" x14ac:dyDescent="0.15">
      <c r="A64" s="70"/>
      <c r="B64" s="70"/>
      <c r="C64" s="70"/>
      <c r="D64" s="70"/>
      <c r="E64" s="72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</row>
    <row r="65" spans="1:53" ht="16.350000000000001" customHeight="1" x14ac:dyDescent="0.15">
      <c r="A65" s="70"/>
      <c r="B65" s="70"/>
      <c r="C65" s="70"/>
      <c r="D65" s="70"/>
      <c r="E65" s="72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</row>
    <row r="66" spans="1:53" ht="16.350000000000001" customHeight="1" x14ac:dyDescent="0.15">
      <c r="A66" s="70"/>
      <c r="B66" s="70"/>
      <c r="C66" s="70"/>
      <c r="D66" s="70"/>
      <c r="E66" s="72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</row>
    <row r="67" spans="1:53" ht="16.350000000000001" customHeight="1" x14ac:dyDescent="0.15">
      <c r="A67" s="70"/>
      <c r="B67" s="70"/>
      <c r="C67" s="70"/>
      <c r="D67" s="70"/>
      <c r="E67" s="72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</row>
    <row r="68" spans="1:53" ht="16.350000000000001" customHeight="1" x14ac:dyDescent="0.15">
      <c r="A68" s="70"/>
      <c r="B68" s="70"/>
      <c r="C68" s="70"/>
      <c r="D68" s="70"/>
      <c r="E68" s="72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</row>
    <row r="69" spans="1:53" ht="16.350000000000001" customHeight="1" x14ac:dyDescent="0.15">
      <c r="A69" s="70"/>
      <c r="B69" s="70"/>
      <c r="C69" s="70"/>
      <c r="D69" s="70"/>
      <c r="E69" s="72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</row>
    <row r="70" spans="1:53" ht="16.350000000000001" customHeight="1" x14ac:dyDescent="0.15">
      <c r="A70" s="70"/>
      <c r="B70" s="70"/>
      <c r="C70" s="70"/>
      <c r="D70" s="70"/>
      <c r="E70" s="72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</row>
    <row r="71" spans="1:53" ht="16.350000000000001" customHeight="1" x14ac:dyDescent="0.15">
      <c r="A71" s="70"/>
      <c r="B71" s="70"/>
      <c r="C71" s="70"/>
      <c r="D71" s="70"/>
      <c r="E71" s="72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</row>
    <row r="72" spans="1:53" ht="16.350000000000001" customHeight="1" x14ac:dyDescent="0.15">
      <c r="A72" s="70"/>
      <c r="B72" s="70"/>
      <c r="C72" s="70"/>
      <c r="D72" s="70"/>
      <c r="E72" s="72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</row>
    <row r="73" spans="1:53" ht="16.350000000000001" customHeight="1" x14ac:dyDescent="0.15">
      <c r="A73" s="70"/>
      <c r="B73" s="70"/>
      <c r="C73" s="70"/>
      <c r="D73" s="70"/>
      <c r="E73" s="72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</row>
    <row r="74" spans="1:53" ht="16.350000000000001" customHeight="1" x14ac:dyDescent="0.1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</row>
    <row r="75" spans="1:53" ht="16.350000000000001" customHeight="1" x14ac:dyDescent="0.15">
      <c r="A75" s="70"/>
      <c r="B75" s="73"/>
      <c r="C75" s="73"/>
      <c r="D75" s="73"/>
      <c r="E75" s="73"/>
      <c r="F75" s="70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</row>
    <row r="76" spans="1:53" ht="16.350000000000001" customHeight="1" x14ac:dyDescent="0.15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</row>
    <row r="77" spans="1:53" ht="75.75" customHeight="1" x14ac:dyDescent="0.15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</row>
  </sheetData>
  <sheetProtection sheet="1" objects="1" scenarios="1"/>
  <mergeCells count="46">
    <mergeCell ref="A1:AC3"/>
    <mergeCell ref="AD1:BA3"/>
    <mergeCell ref="AD4:BA5"/>
    <mergeCell ref="AD6:BA6"/>
    <mergeCell ref="A4:D5"/>
    <mergeCell ref="AA4:AC4"/>
    <mergeCell ref="AA5:AC5"/>
    <mergeCell ref="O4:Q4"/>
    <mergeCell ref="O5:Q5"/>
    <mergeCell ref="I4:K4"/>
    <mergeCell ref="R4:T4"/>
    <mergeCell ref="R5:T5"/>
    <mergeCell ref="AD7:BA7"/>
    <mergeCell ref="AD8:BA8"/>
    <mergeCell ref="AD9:BA9"/>
    <mergeCell ref="AD10:BA10"/>
    <mergeCell ref="AD16:BA16"/>
    <mergeCell ref="AA20:AC20"/>
    <mergeCell ref="AD19:BA19"/>
    <mergeCell ref="AD20:BA20"/>
    <mergeCell ref="AD15:BA15"/>
    <mergeCell ref="U4:W4"/>
    <mergeCell ref="U5:W5"/>
    <mergeCell ref="U20:W20"/>
    <mergeCell ref="X4:Z4"/>
    <mergeCell ref="X5:Z5"/>
    <mergeCell ref="X20:Z20"/>
    <mergeCell ref="AD17:BA17"/>
    <mergeCell ref="AD18:BA18"/>
    <mergeCell ref="AD11:BA11"/>
    <mergeCell ref="AD12:BA12"/>
    <mergeCell ref="AD13:BA13"/>
    <mergeCell ref="AD14:BA14"/>
    <mergeCell ref="A20:D20"/>
    <mergeCell ref="F5:H5"/>
    <mergeCell ref="F20:H20"/>
    <mergeCell ref="A6:D6"/>
    <mergeCell ref="E4:E5"/>
    <mergeCell ref="F4:H4"/>
    <mergeCell ref="R20:T20"/>
    <mergeCell ref="I5:K5"/>
    <mergeCell ref="I20:K20"/>
    <mergeCell ref="L4:N4"/>
    <mergeCell ref="L5:N5"/>
    <mergeCell ref="L20:N20"/>
    <mergeCell ref="O20:Q20"/>
  </mergeCells>
  <phoneticPr fontId="0" type="noConversion"/>
  <printOptions horizontalCentered="1" verticalCentered="1"/>
  <pageMargins left="0" right="0" top="0" bottom="0" header="0" footer="0"/>
  <pageSetup paperSize="9" scale="55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4B42-94C5-4467-B832-276EF5101371}">
  <sheetPr>
    <pageSetUpPr fitToPage="1"/>
  </sheetPr>
  <dimension ref="A1:L11"/>
  <sheetViews>
    <sheetView showGridLines="0" tabSelected="1" topLeftCell="D1" zoomScale="91" workbookViewId="0">
      <selection sqref="A1:K2"/>
    </sheetView>
  </sheetViews>
  <sheetFormatPr defaultColWidth="9.16796875" defaultRowHeight="12.75" x14ac:dyDescent="0.15"/>
  <cols>
    <col min="1" max="1" width="3.7734375" style="52" bestFit="1" customWidth="1"/>
    <col min="2" max="2" width="18.33984375" style="52" bestFit="1" customWidth="1"/>
    <col min="3" max="3" width="1.6171875" style="52" customWidth="1"/>
    <col min="4" max="4" width="18.33984375" style="52" customWidth="1"/>
    <col min="5" max="5" width="3.234375" style="52" customWidth="1"/>
    <col min="6" max="6" width="1.75" style="52" customWidth="1"/>
    <col min="7" max="7" width="3.234375" style="52" customWidth="1"/>
    <col min="8" max="8" width="1.75" style="52" customWidth="1"/>
    <col min="9" max="9" width="3.234375" style="52" bestFit="1" customWidth="1"/>
    <col min="10" max="10" width="1.75" style="52" bestFit="1" customWidth="1"/>
    <col min="11" max="11" width="3.234375" style="52" bestFit="1" customWidth="1"/>
    <col min="12" max="12" width="18.33984375" style="52" customWidth="1"/>
    <col min="13" max="16384" width="9.16796875" style="52"/>
  </cols>
  <sheetData>
    <row r="1" spans="1:12" ht="13.5" customHeight="1" x14ac:dyDescent="0.15">
      <c r="A1" s="134" t="str">
        <f>CONCATENATE("Grand Prix ",DB!B1)</f>
        <v>Grand Prix 2026</v>
      </c>
      <c r="B1" s="134"/>
      <c r="C1" s="134"/>
      <c r="D1" s="134"/>
      <c r="E1" s="134"/>
      <c r="F1" s="134"/>
      <c r="G1" s="134"/>
      <c r="H1" s="134"/>
      <c r="I1" s="140"/>
      <c r="J1" s="140"/>
      <c r="K1" s="140"/>
      <c r="L1" s="134"/>
    </row>
    <row r="2" spans="1:12" ht="13.5" customHeight="1" thickBot="1" x14ac:dyDescent="0.2">
      <c r="A2" s="134"/>
      <c r="B2" s="134"/>
      <c r="C2" s="134"/>
      <c r="D2" s="134"/>
      <c r="E2" s="134"/>
      <c r="F2" s="134"/>
      <c r="G2" s="134"/>
      <c r="H2" s="134"/>
      <c r="I2" s="140"/>
      <c r="J2" s="140"/>
      <c r="K2" s="140"/>
      <c r="L2" s="135"/>
    </row>
    <row r="3" spans="1:12" ht="13.5" customHeight="1" thickTop="1" x14ac:dyDescent="0.15">
      <c r="A3" s="119" t="str">
        <f>IF(DB!B6=13,CONCATENATE(DB!D3," - Resultater, Kamp ",DB!C5),CONCATENATE(DB!D3," - Resultater, Kamp ",DB!C5-1))</f>
        <v>Kvartfinaler - Resultater, Kamp 2</v>
      </c>
      <c r="B3" s="120"/>
      <c r="C3" s="120"/>
      <c r="D3" s="120"/>
      <c r="E3" s="120"/>
      <c r="F3" s="120"/>
      <c r="G3" s="120"/>
      <c r="H3" s="120"/>
      <c r="I3" s="136"/>
      <c r="J3" s="136"/>
      <c r="K3" s="137"/>
      <c r="L3" s="146" t="s">
        <v>81</v>
      </c>
    </row>
    <row r="4" spans="1:12" ht="13.5" customHeight="1" thickBot="1" x14ac:dyDescent="0.2">
      <c r="A4" s="122"/>
      <c r="B4" s="123"/>
      <c r="C4" s="123"/>
      <c r="D4" s="123"/>
      <c r="E4" s="123"/>
      <c r="F4" s="123"/>
      <c r="G4" s="123"/>
      <c r="H4" s="123"/>
      <c r="I4" s="138"/>
      <c r="J4" s="138"/>
      <c r="K4" s="139"/>
      <c r="L4" s="147"/>
    </row>
    <row r="5" spans="1:12" ht="13.5" customHeight="1" thickTop="1" x14ac:dyDescent="0.15">
      <c r="A5" s="61" t="s">
        <v>9</v>
      </c>
      <c r="B5" s="62" t="str">
        <f>DB!B22</f>
        <v>Idskov (1)</v>
      </c>
      <c r="C5" s="63" t="str">
        <f>IF(B5&lt;&gt;"","-","")</f>
        <v>-</v>
      </c>
      <c r="D5" s="64" t="str">
        <f>DB!E22</f>
        <v>Benbo (8)</v>
      </c>
      <c r="E5" s="62">
        <f>DB!G22</f>
        <v>8</v>
      </c>
      <c r="F5" s="63" t="str">
        <f>IF(E5&lt;&gt;"","-","")</f>
        <v>-</v>
      </c>
      <c r="G5" s="64">
        <f>DB!I22</f>
        <v>9</v>
      </c>
      <c r="H5" s="63" t="str">
        <f>IF(I5&lt;&gt;"",",","")</f>
        <v>,</v>
      </c>
      <c r="I5" s="62">
        <f>DB!P22</f>
        <v>4</v>
      </c>
      <c r="J5" s="63" t="str">
        <f>IF(I5&lt;&gt;"","-","")</f>
        <v>-</v>
      </c>
      <c r="K5" s="56">
        <f>DB!W22</f>
        <v>4</v>
      </c>
      <c r="L5" s="67" t="str">
        <f>DB!AC22</f>
        <v>Benbo (8)</v>
      </c>
    </row>
    <row r="6" spans="1:12" ht="13.5" customHeight="1" x14ac:dyDescent="0.15">
      <c r="A6" s="53" t="s">
        <v>10</v>
      </c>
      <c r="B6" s="54" t="str">
        <f>DB!B23</f>
        <v>Frydkær (11)</v>
      </c>
      <c r="C6" s="55" t="str">
        <f>IF(B6&lt;&gt;"","-","")</f>
        <v>-</v>
      </c>
      <c r="D6" s="65" t="str">
        <f>DB!E23</f>
        <v>Benbo (16)</v>
      </c>
      <c r="E6" s="54">
        <f>DB!G23</f>
        <v>9</v>
      </c>
      <c r="F6" s="55" t="str">
        <f>IF(E6&lt;&gt;"","-","")</f>
        <v>-</v>
      </c>
      <c r="G6" s="65">
        <f>DB!I23</f>
        <v>9</v>
      </c>
      <c r="H6" s="55" t="str">
        <f>IF(I6&lt;&gt;"",",","")</f>
        <v>,</v>
      </c>
      <c r="I6" s="54">
        <f>DB!P23</f>
        <v>3</v>
      </c>
      <c r="J6" s="55" t="str">
        <f>IF(I6&lt;&gt;"","-","")</f>
        <v>-</v>
      </c>
      <c r="K6" s="57">
        <f>DB!W23</f>
        <v>4</v>
      </c>
      <c r="L6" s="68" t="str">
        <f>DB!AC23</f>
        <v>Benbo (16)</v>
      </c>
    </row>
    <row r="7" spans="1:12" ht="13.5" customHeight="1" x14ac:dyDescent="0.15">
      <c r="A7" s="53" t="s">
        <v>11</v>
      </c>
      <c r="B7" s="54" t="str">
        <f>DB!B24</f>
        <v>LPHJ (4)</v>
      </c>
      <c r="C7" s="55" t="str">
        <f>IF(B7&lt;&gt;"","-","")</f>
        <v>-</v>
      </c>
      <c r="D7" s="65" t="str">
        <f>DB!E24</f>
        <v>LPHJ (6)</v>
      </c>
      <c r="E7" s="54" t="str">
        <f>DB!G24</f>
        <v/>
      </c>
      <c r="F7" s="55" t="str">
        <f>IF(E7&lt;&gt;"","-","")</f>
        <v/>
      </c>
      <c r="G7" s="65" t="str">
        <f>DB!I24</f>
        <v/>
      </c>
      <c r="H7" s="55" t="str">
        <f>IF(I7&lt;&gt;"",",","")</f>
        <v/>
      </c>
      <c r="I7" s="54" t="str">
        <f>DB!P24</f>
        <v/>
      </c>
      <c r="J7" s="55" t="str">
        <f>IF(I7&lt;&gt;"","-","")</f>
        <v/>
      </c>
      <c r="K7" s="57" t="str">
        <f>DB!W24</f>
        <v/>
      </c>
      <c r="L7" s="68" t="str">
        <f>DB!AC24</f>
        <v>LPHJ (4)</v>
      </c>
    </row>
    <row r="8" spans="1:12" ht="13.5" customHeight="1" thickBot="1" x14ac:dyDescent="0.2">
      <c r="A8" s="58" t="s">
        <v>12</v>
      </c>
      <c r="B8" s="59" t="str">
        <f>DB!B25</f>
        <v>LPHJ (10)</v>
      </c>
      <c r="C8" s="51" t="str">
        <f>IF(B8&lt;&gt;"","-","")</f>
        <v>-</v>
      </c>
      <c r="D8" s="66" t="str">
        <f>DB!E25</f>
        <v>Robbo (2)</v>
      </c>
      <c r="E8" s="59">
        <f>DB!G25</f>
        <v>8</v>
      </c>
      <c r="F8" s="51" t="str">
        <f>IF(E8&lt;&gt;"","-","")</f>
        <v>-</v>
      </c>
      <c r="G8" s="66">
        <f>DB!I25</f>
        <v>8</v>
      </c>
      <c r="H8" s="51" t="str">
        <f>IF(I8&lt;&gt;"",",","")</f>
        <v>,</v>
      </c>
      <c r="I8" s="59">
        <f>DB!P25</f>
        <v>5</v>
      </c>
      <c r="J8" s="51" t="str">
        <f>IF(I8&lt;&gt;"","-","")</f>
        <v>-</v>
      </c>
      <c r="K8" s="60">
        <f>DB!W25</f>
        <v>5</v>
      </c>
      <c r="L8" s="69" t="str">
        <f>DB!AC25</f>
        <v/>
      </c>
    </row>
    <row r="9" spans="1:12" ht="13.5" customHeight="1" thickTop="1" thickBot="1" x14ac:dyDescent="0.2">
      <c r="A9" s="142" t="s">
        <v>4</v>
      </c>
      <c r="B9" s="143"/>
      <c r="C9" s="143"/>
      <c r="D9" s="143"/>
      <c r="E9" s="143"/>
      <c r="F9" s="143"/>
      <c r="G9" s="143"/>
      <c r="H9" s="143"/>
      <c r="I9" s="133">
        <f>DB!F1</f>
        <v>4</v>
      </c>
      <c r="J9" s="133"/>
      <c r="K9" s="141"/>
      <c r="L9" s="5"/>
    </row>
    <row r="10" spans="1:12" ht="13.5" customHeight="1" thickTop="1" x14ac:dyDescent="0.15">
      <c r="A10" s="114" t="str">
        <f>DB!H4</f>
        <v>Tallet i parentes angiver puljen, signaturen er gået videre fra.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01"/>
    </row>
    <row r="11" spans="1:12" ht="13.5" customHeight="1" x14ac:dyDescent="0.15">
      <c r="A11" s="145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01"/>
    </row>
  </sheetData>
  <sheetProtection sheet="1" objects="1" scenarios="1"/>
  <mergeCells count="8">
    <mergeCell ref="A10:K11"/>
    <mergeCell ref="L10:L11"/>
    <mergeCell ref="L3:L4"/>
    <mergeCell ref="L1:L2"/>
    <mergeCell ref="A3:K4"/>
    <mergeCell ref="A1:K2"/>
    <mergeCell ref="I9:K9"/>
    <mergeCell ref="A9:H9"/>
  </mergeCells>
  <phoneticPr fontId="0" type="noConversion"/>
  <pageMargins left="0.78740157480314965" right="0" top="0" bottom="0" header="0" footer="0"/>
  <pageSetup paperSize="9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C409-907F-42BD-A74F-EBE71409FB8D}">
  <dimension ref="A1:AY32"/>
  <sheetViews>
    <sheetView workbookViewId="0"/>
  </sheetViews>
  <sheetFormatPr defaultColWidth="9.16796875" defaultRowHeight="12.75" x14ac:dyDescent="0.15"/>
  <cols>
    <col min="1" max="16384" width="9.16796875" style="21"/>
  </cols>
  <sheetData>
    <row r="1" spans="1:51" x14ac:dyDescent="0.15">
      <c r="A1" s="21" t="s">
        <v>23</v>
      </c>
      <c r="B1" s="21">
        <f>[1]DB!B1</f>
        <v>2026</v>
      </c>
      <c r="E1" s="21" t="s">
        <v>31</v>
      </c>
      <c r="F1" s="21">
        <f>IF(B6=13,IF(B4=B2,IF(COUNTIF(Y22:Y25,"")=0,"",IF(SUM(AL12:AL19)=0,0,ROUND(SUM(AK12:AK19)/SUM(AL12:AL19),0))),""),"")</f>
        <v>4</v>
      </c>
      <c r="H1" s="50" t="str">
        <f>[2]DB!H1</f>
        <v>Grand Prix-række afgives til Bjarne Villadsen</v>
      </c>
    </row>
    <row r="2" spans="1:51" x14ac:dyDescent="0.15">
      <c r="A2" s="21" t="s">
        <v>29</v>
      </c>
      <c r="B2" s="21">
        <f>[1]DB!B3</f>
        <v>24</v>
      </c>
      <c r="C2" s="21" t="s">
        <v>29</v>
      </c>
      <c r="D2" s="50" t="str">
        <f>[1]DB!D2</f>
        <v>4. runde</v>
      </c>
      <c r="H2" s="50" t="str">
        <f>[2]DB!H2</f>
        <v>Senest Onsdag kl. 23.00 i næste kampuge</v>
      </c>
    </row>
    <row r="3" spans="1:51" x14ac:dyDescent="0.15">
      <c r="A3" s="21" t="s">
        <v>30</v>
      </c>
      <c r="B3" s="21">
        <f>B2+1</f>
        <v>25</v>
      </c>
      <c r="C3" s="21" t="s">
        <v>30</v>
      </c>
      <c r="D3" s="50" t="str">
        <f>[1]DB!D4</f>
        <v>Kvartfinaler</v>
      </c>
      <c r="H3" s="50" t="str">
        <f>[2]DB!H3</f>
        <v>på tlf.: 20 46 98 75 eller på email: lundstipsforening@gmail</v>
      </c>
    </row>
    <row r="4" spans="1:51" x14ac:dyDescent="0.15">
      <c r="A4" s="21" t="s">
        <v>32</v>
      </c>
      <c r="B4" s="21">
        <f>[1]DB!B5</f>
        <v>24</v>
      </c>
      <c r="C4" s="21" t="s">
        <v>108</v>
      </c>
      <c r="D4" s="50" t="str">
        <f>D3</f>
        <v>Kvartfinaler</v>
      </c>
      <c r="H4" s="50" t="str">
        <f>IF(DB!B2&lt;&gt;B4,IF(B4&gt;22,CONCATENATE("Ingen kampresultater: ",B4+1,". runde ikke færdigspillet."),CONCATENATE("Ingen kampresultater: ",D2," ikke færdigspillet.")),"Tallet i parentes angiver puljen, signaturen er gået videre fra.")</f>
        <v>Tallet i parentes angiver puljen, signaturen er gået videre fra.</v>
      </c>
    </row>
    <row r="5" spans="1:51" x14ac:dyDescent="0.15">
      <c r="A5" s="21" t="s">
        <v>33</v>
      </c>
      <c r="B5" s="21">
        <f>IF(B2=B4,IF(B6=13,B4+1,IF(COUNTIF(Y22:Y25,"")=0,B4+1,B4)),B4)</f>
        <v>25</v>
      </c>
      <c r="C5" s="21">
        <f>[1]DB!C5+1</f>
        <v>2</v>
      </c>
      <c r="D5" s="50" t="str">
        <f>CONCATENATE(D3,", Kamp ",C5)</f>
        <v>Kvartfinaler, Kamp 2</v>
      </c>
    </row>
    <row r="6" spans="1:51" x14ac:dyDescent="0.15">
      <c r="A6" s="21" t="s">
        <v>34</v>
      </c>
      <c r="B6" s="21">
        <f>COUNTIF(Q10:AC10,1)+COUNTIF(Q10:AC10,"X")+COUNTIF(Q10:AC10,2)</f>
        <v>13</v>
      </c>
      <c r="C6" s="50"/>
      <c r="D6" s="50" t="str">
        <f>CONCATENATE("1/4-finaler - K",C5)</f>
        <v>1/4-finaler - K2</v>
      </c>
    </row>
    <row r="8" spans="1:51" x14ac:dyDescent="0.15">
      <c r="A8" s="21" t="str">
        <f>IF(Rækker!B3="",IF(COUNTIF(Rækker!B5:B19,"")&lt;14,"FEJL",""),IF(IF(OR(Rækker!B4="Disket",Rækker!B4="Udmeldt",Rækker!B4="Walkover"),1,0)=0,IF(IF(Rækker!B5&lt;&gt;"",IF(OR(Rækker!B5="Disket",Rækker!B5="Udmeldt",Rækker!B5="MR",Rækker!B5="Res"),1,2),0)=0,IF(COUNTIF(Rækker!B7:B19,"&lt;&gt;")&lt;13,"",IF(COUNTIF(Rækker!B7:B19,1)+COUNTIF(Rækker!B7:B19,"X")+COUNTIF(Rækker!B7:B19,2)=13,"OK","FEJL")),IF(IF(Rækker!B5&lt;&gt;"",IF(OR(Rækker!B5="Disket",Rækker!B5="Udmeldt",Rækker!B5="MR",Rækker!B5="Res"),1,2),0)=1,IF(COUNTIF(Rækker!B7:B19,"&lt;&gt;")=0,"OK","FEJL"),"FEJL")),IF(AND(IF(Rækker!B5&lt;&gt;"",IF(OR(Rækker!B5="Disket",Rækker!B5="Udmeldt",Rækker!B5="MR",Rækker!B5="Res"),1,2),0)=0,COUNTIF(Rækker!B7:B19,"&lt;&gt;")=0),"OK","FEJL")))</f>
        <v>OK</v>
      </c>
      <c r="B8" s="21" t="str">
        <f>IF(Rækker!D3="",IF(COUNTIF(Rækker!D5:D19,"")&lt;14,"FEJL",""),IF(IF(OR(Rækker!D4="Disket",Rækker!D4="Udmeldt",Rækker!D4="Walkover"),1,0)=0,IF(IF(Rækker!D5&lt;&gt;"",IF(OR(Rækker!D5="Disket",Rækker!D5="Udmeldt",Rækker!D5="MR",Rækker!D5="Res"),1,2),0)=0,IF(COUNTIF(Rækker!D7:D19,"&lt;&gt;")&lt;13,"",IF(COUNTIF(Rækker!D7:D19,1)+COUNTIF(Rækker!D7:D19,"X")+COUNTIF(Rækker!D7:D19,2)=13,"OK","FEJL")),IF(IF(Rækker!D5&lt;&gt;"",IF(OR(Rækker!D5="Disket",Rækker!D5="Udmeldt",Rækker!D5="MR",Rækker!D5="Res"),1,2),0)=1,IF(COUNTIF(Rækker!D7:D19,"&lt;&gt;")=0,"OK","FEJL"),"FEJL")),IF(AND(IF(Rækker!D5&lt;&gt;"",IF(OR(Rækker!D5="Disket",Rækker!D5="Udmeldt",Rækker!D5="MR",Rækker!D5="Res"),1,2),0)=0,COUNTIF(Rækker!D7:D19,"&lt;&gt;")=0),"OK","FEJL")))</f>
        <v>OK</v>
      </c>
      <c r="C8" s="21" t="str">
        <f>IF(Rækker!F3="",IF(COUNTIF(Rækker!F5:F19,"")&lt;14,"FEJL",""),IF(IF(OR(Rækker!F4="Disket",Rækker!F4="Udmeldt",Rækker!F4="Walkover"),1,0)=0,IF(IF(Rækker!F5&lt;&gt;"",IF(OR(Rækker!F5="Disket",Rækker!F5="Udmeldt",Rækker!F5="MR",Rækker!F5="Res"),1,2),0)=0,IF(COUNTIF(Rækker!F7:F19,"&lt;&gt;")&lt;13,"",IF(COUNTIF(Rækker!F7:F19,1)+COUNTIF(Rækker!F7:F19,"X")+COUNTIF(Rækker!F7:F19,2)=13,"OK","FEJL")),IF(IF(Rækker!F5&lt;&gt;"",IF(OR(Rækker!F5="Disket",Rækker!F5="Udmeldt",Rækker!F5="MR",Rækker!F5="Res"),1,2),0)=1,IF(COUNTIF(Rækker!F7:F19,"&lt;&gt;")=0,"OK","FEJL"),"FEJL")),IF(AND(IF(Rækker!F5&lt;&gt;"",IF(OR(Rækker!F5="Disket",Rækker!F5="Udmeldt",Rækker!F5="MR",Rækker!F5="Res"),1,2),0)=0,COUNTIF(Rækker!F7:F19,"&lt;&gt;")=0),"OK","FEJL")))</f>
        <v>OK</v>
      </c>
      <c r="D8" s="21" t="str">
        <f>IF(Rækker!H3="",IF(COUNTIF(Rækker!H5:H19,"")&lt;14,"FEJL",""),IF(IF(OR(Rækker!H4="Disket",Rækker!H4="Udmeldt",Rækker!H4="Walkover"),1,0)=0,IF(IF(Rækker!H5&lt;&gt;"",IF(OR(Rækker!H5="Disket",Rækker!H5="Udmeldt",Rækker!H5="MR",Rækker!H5="Res"),1,2),0)=0,IF(COUNTIF(Rækker!H7:H19,"&lt;&gt;")&lt;13,"",IF(COUNTIF(Rækker!H7:H19,1)+COUNTIF(Rækker!H7:H19,"X")+COUNTIF(Rækker!H7:H19,2)=13,"OK","FEJL")),IF(IF(Rækker!H5&lt;&gt;"",IF(OR(Rækker!H5="Disket",Rækker!H5="Udmeldt",Rækker!H5="MR",Rækker!H5="Res"),1,2),0)=1,IF(COUNTIF(Rækker!H7:H19,"&lt;&gt;")=0,"OK","FEJL"),"FEJL")),IF(AND(IF(Rækker!H5&lt;&gt;"",IF(OR(Rækker!H5="Disket",Rækker!H5="Udmeldt",Rækker!H5="MR",Rækker!H5="Res"),1,2),0)=0,COUNTIF(Rækker!H7:H19,"&lt;&gt;")=0),"OK","FEJL")))</f>
        <v>OK</v>
      </c>
      <c r="E8" s="21" t="str">
        <f>IF(Rækker!J3="",IF(COUNTIF(Rækker!J5:J19,"")&lt;14,"FEJL",""),IF(IF(OR(Rækker!J4="Disket",Rækker!J4="Udmeldt",Rækker!J4="Walkover"),1,0)=0,IF(IF(Rækker!J5&lt;&gt;"",IF(OR(Rækker!J5="Disket",Rækker!J5="Udmeldt",Rækker!J5="MR",Rækker!J5="Res"),1,2),0)=0,IF(COUNTIF(Rækker!J7:J19,"&lt;&gt;")&lt;13,"",IF(COUNTIF(Rækker!J7:J19,1)+COUNTIF(Rækker!J7:J19,"X")+COUNTIF(Rækker!J7:J19,2)=13,"OK","FEJL")),IF(IF(Rækker!J5&lt;&gt;"",IF(OR(Rækker!J5="Disket",Rækker!J5="Udmeldt",Rækker!J5="MR",Rækker!J5="Res"),1,2),0)=1,IF(COUNTIF(Rækker!J7:J19,"&lt;&gt;")=0,"OK","FEJL"),"FEJL")),IF(AND(IF(Rækker!J5&lt;&gt;"",IF(OR(Rækker!J5="Disket",Rækker!J5="Udmeldt",Rækker!J5="MR",Rækker!J5="Res"),1,2),0)=0,COUNTIF(Rækker!J7:J19,"&lt;&gt;")=0),"OK","FEJL")))</f>
        <v>OK</v>
      </c>
      <c r="F8" s="21" t="str">
        <f>IF(Rækker!L3="",IF(COUNTIF(Rækker!L5:L19,"")&lt;14,"FEJL",""),IF(IF(OR(Rækker!L4="Disket",Rækker!L4="Udmeldt",Rækker!L4="Walkover"),1,0)=0,IF(IF(Rækker!L5&lt;&gt;"",IF(OR(Rækker!L5="Disket",Rækker!L5="Udmeldt",Rækker!L5="MR",Rækker!L5="Res"),1,2),0)=0,IF(COUNTIF(Rækker!L7:L19,"&lt;&gt;")&lt;13,"",IF(COUNTIF(Rækker!L7:L19,1)+COUNTIF(Rækker!L7:L19,"X")+COUNTIF(Rækker!L7:L19,2)=13,"OK","FEJL")),IF(IF(Rækker!L5&lt;&gt;"",IF(OR(Rækker!L5="Disket",Rækker!L5="Udmeldt",Rækker!L5="MR",Rækker!L5="Res"),1,2),0)=1,IF(COUNTIF(Rækker!L7:L19,"&lt;&gt;")=0,"OK","FEJL"),"FEJL")),IF(AND(IF(Rækker!L5&lt;&gt;"",IF(OR(Rækker!L5="Disket",Rækker!L5="Udmeldt",Rækker!L5="MR",Rækker!L5="Res"),1,2),0)=0,COUNTIF(Rækker!L7:L19,"&lt;&gt;")=0),"OK","FEJL")))</f>
        <v/>
      </c>
      <c r="G8" s="21" t="str">
        <f>IF(Rækker!N3="",IF(COUNTIF(Rækker!N5:N19,"")&lt;14,"FEJL",""),IF(IF(OR(Rækker!N4="Disket",Rækker!N4="Udmeldt",Rækker!N4="Walkover"),1,0)=0,IF(IF(Rækker!N5&lt;&gt;"",IF(OR(Rækker!N5="Disket",Rækker!N5="Udmeldt",Rækker!N5="MR",Rækker!N5="Res"),1,2),0)=0,IF(COUNTIF(Rækker!N7:N19,"&lt;&gt;")&lt;13,"",IF(COUNTIF(Rækker!N7:N19,1)+COUNTIF(Rækker!N7:N19,"X")+COUNTIF(Rækker!N7:N19,2)=13,"OK","FEJL")),IF(IF(Rækker!N5&lt;&gt;"",IF(OR(Rækker!N5="Disket",Rækker!N5="Udmeldt",Rækker!N5="MR",Rækker!N5="Res"),1,2),0)=1,IF(COUNTIF(Rækker!N7:N19,"&lt;&gt;")=0,"OK","FEJL"),"FEJL")),IF(AND(IF(Rækker!N5&lt;&gt;"",IF(OR(Rækker!N5="Disket",Rækker!N5="Udmeldt",Rækker!N5="MR",Rækker!N5="Res"),1,2),0)=0,COUNTIF(Rækker!N7:N19,"&lt;&gt;")=0),"OK","FEJL")))</f>
        <v/>
      </c>
      <c r="H8" s="21" t="str">
        <f>IF(Rækker!P3="",IF(COUNTIF(Rækker!P5:P19,"")&lt;14,"FEJL",""),IF(IF(OR(Rækker!P4="Disket",Rækker!P4="Udmeldt",Rækker!P4="Walkover"),1,0)=0,IF(IF(Rækker!P5&lt;&gt;"",IF(OR(Rækker!P5="Disket",Rækker!P5="Udmeldt",Rækker!P5="MR",Rækker!P5="Res"),1,2),0)=0,IF(COUNTIF(Rækker!P7:P19,"&lt;&gt;")&lt;13,"",IF(COUNTIF(Rækker!P7:P19,1)+COUNTIF(Rækker!P7:P19,"X")+COUNTIF(Rækker!P7:P19,2)=13,"OK","FEJL")),IF(IF(Rækker!P5&lt;&gt;"",IF(OR(Rækker!P5="Disket",Rækker!P5="Udmeldt",Rækker!P5="MR",Rækker!P5="Res"),1,2),0)=1,IF(COUNTIF(Rækker!P7:P19,"&lt;&gt;")=0,"OK","FEJL"),"FEJL")),IF(AND(IF(Rækker!P5&lt;&gt;"",IF(OR(Rækker!P5="Disket",Rækker!P5="Udmeldt",Rækker!P5="MR",Rækker!P5="Res"),1,2),0)=0,COUNTIF(Rækker!P7:P19,"&lt;&gt;")=0),"OK","FEJL")))</f>
        <v/>
      </c>
    </row>
    <row r="10" spans="1:51" x14ac:dyDescent="0.15">
      <c r="Q10" s="21">
        <f>'Rækker - Udskrift'!E7</f>
        <v>1</v>
      </c>
      <c r="R10" s="21">
        <f>'Rækker - Udskrift'!E8</f>
        <v>2</v>
      </c>
      <c r="S10" s="21">
        <f>'Rækker - Udskrift'!E9</f>
        <v>1</v>
      </c>
      <c r="T10" s="21">
        <f>'Rækker - Udskrift'!E10</f>
        <v>1</v>
      </c>
      <c r="U10" s="21">
        <f>'Rækker - Udskrift'!E11</f>
        <v>1</v>
      </c>
      <c r="V10" s="21" t="str">
        <f>'Rækker - Udskrift'!E12</f>
        <v>x</v>
      </c>
      <c r="W10" s="21">
        <f>'Rækker - Udskrift'!E13</f>
        <v>2</v>
      </c>
      <c r="X10" s="21" t="str">
        <f>'Rækker - Udskrift'!E14</f>
        <v>x</v>
      </c>
      <c r="Y10" s="21">
        <f>'Rækker - Udskrift'!E15</f>
        <v>1</v>
      </c>
      <c r="Z10" s="21">
        <f>'Rækker - Udskrift'!E16</f>
        <v>1</v>
      </c>
      <c r="AA10" s="21">
        <f>'Rækker - Udskrift'!E17</f>
        <v>2</v>
      </c>
      <c r="AB10" s="21">
        <f>'Rækker - Udskrift'!E18</f>
        <v>2</v>
      </c>
      <c r="AC10" s="21" t="str">
        <f>'Rækker - Udskrift'!E19</f>
        <v>x</v>
      </c>
    </row>
    <row r="11" spans="1:51" x14ac:dyDescent="0.15">
      <c r="A11" s="21" t="s">
        <v>2</v>
      </c>
      <c r="B11" s="21" t="s">
        <v>25</v>
      </c>
      <c r="C11" s="21" t="s">
        <v>35</v>
      </c>
      <c r="D11" s="21" t="s">
        <v>71</v>
      </c>
      <c r="E11" s="21" t="s">
        <v>72</v>
      </c>
      <c r="F11" s="21" t="s">
        <v>73</v>
      </c>
      <c r="G11" s="21" t="s">
        <v>74</v>
      </c>
      <c r="H11" s="21" t="s">
        <v>56</v>
      </c>
      <c r="I11" s="21" t="s">
        <v>57</v>
      </c>
      <c r="J11" s="21" t="s">
        <v>58</v>
      </c>
      <c r="K11" s="21" t="s">
        <v>59</v>
      </c>
      <c r="L11" s="21" t="s">
        <v>60</v>
      </c>
      <c r="M11" s="21" t="s">
        <v>61</v>
      </c>
      <c r="N11" s="21" t="s">
        <v>62</v>
      </c>
      <c r="O11" s="21" t="s">
        <v>63</v>
      </c>
      <c r="P11" s="21" t="s">
        <v>36</v>
      </c>
      <c r="Q11" s="21" t="s">
        <v>37</v>
      </c>
      <c r="R11" s="21" t="s">
        <v>38</v>
      </c>
      <c r="S11" s="21" t="s">
        <v>39</v>
      </c>
      <c r="T11" s="21" t="s">
        <v>40</v>
      </c>
      <c r="U11" s="21" t="s">
        <v>41</v>
      </c>
      <c r="V11" s="21" t="s">
        <v>42</v>
      </c>
      <c r="W11" s="21" t="s">
        <v>43</v>
      </c>
      <c r="X11" s="21" t="s">
        <v>44</v>
      </c>
      <c r="Y11" s="21" t="s">
        <v>45</v>
      </c>
      <c r="Z11" s="21" t="s">
        <v>46</v>
      </c>
      <c r="AA11" s="21" t="s">
        <v>47</v>
      </c>
      <c r="AB11" s="21" t="s">
        <v>48</v>
      </c>
      <c r="AC11" s="21" t="s">
        <v>49</v>
      </c>
      <c r="AD11" s="21" t="s">
        <v>50</v>
      </c>
      <c r="AE11" s="21" t="s">
        <v>53</v>
      </c>
      <c r="AF11" s="21" t="s">
        <v>51</v>
      </c>
      <c r="AG11" s="21" t="s">
        <v>3</v>
      </c>
      <c r="AH11" s="21" t="s">
        <v>54</v>
      </c>
      <c r="AI11" s="21" t="s">
        <v>52</v>
      </c>
      <c r="AJ11" s="21" t="s">
        <v>55</v>
      </c>
      <c r="AK11" s="99" t="s">
        <v>24</v>
      </c>
      <c r="AL11" s="99"/>
      <c r="AM11" s="21" t="s">
        <v>70</v>
      </c>
      <c r="AN11" s="21" t="s">
        <v>65</v>
      </c>
      <c r="AO11" s="21" t="s">
        <v>66</v>
      </c>
      <c r="AQ11" s="21" t="s">
        <v>69</v>
      </c>
      <c r="AR11" s="21" t="s">
        <v>2</v>
      </c>
      <c r="AS11" s="21" t="s">
        <v>35</v>
      </c>
      <c r="AT11" s="21" t="s">
        <v>65</v>
      </c>
      <c r="AU11" s="21" t="s">
        <v>66</v>
      </c>
      <c r="AV11" s="21" t="s">
        <v>67</v>
      </c>
      <c r="AW11" s="21" t="s">
        <v>68</v>
      </c>
      <c r="AX11" s="21" t="s">
        <v>64</v>
      </c>
      <c r="AY11" s="21" t="s">
        <v>24</v>
      </c>
    </row>
    <row r="12" spans="1:51" x14ac:dyDescent="0.15">
      <c r="A12" s="21" t="str">
        <f>[1]DB!AS12</f>
        <v>Benbo</v>
      </c>
      <c r="B12" s="21">
        <v>1</v>
      </c>
      <c r="C12" s="21">
        <f>[1]DB!AT12</f>
        <v>2</v>
      </c>
      <c r="D12" s="21">
        <f>[1]DB!AU12</f>
        <v>0</v>
      </c>
      <c r="E12" s="21">
        <f>IF(B6=13,IF(A12&lt;&gt;"",COUNTIF(AB22:AB25,A12)-COUNTIF(Y22:Y25,A12)+D12,0),D12)</f>
        <v>2</v>
      </c>
      <c r="F12" s="21">
        <f>[1]DB!AV12</f>
        <v>2</v>
      </c>
      <c r="G12" s="21">
        <f>IF(B6=13,IF(A12&lt;&gt;"",F12-COUNTIF(AB22:AB25,A12)+COUNTIF(Y22:Y25,A12)-COUNTIF(AG22:AG25,A12)+COUNTIF(AF22:AF25,A12),0),F12)</f>
        <v>0</v>
      </c>
      <c r="H12" s="21">
        <f>[1]DB!AW12</f>
        <v>0</v>
      </c>
      <c r="I12" s="21">
        <f>IF(Rækker!B5="Disket",1,IF(M12&gt;5,1,IF(H12=1,1,0)))</f>
        <v>0</v>
      </c>
      <c r="J12" s="21">
        <f>[1]DB!AX12</f>
        <v>0</v>
      </c>
      <c r="K12" s="21">
        <f>IF(Rækker!B5="Udmeldt",1,IF(J12=1,1,0))</f>
        <v>0</v>
      </c>
      <c r="L12" s="21">
        <f>[1]DB!AY12</f>
        <v>0</v>
      </c>
      <c r="M12" s="21">
        <f>IF(Rækker!B5="MR",L12+1,L12)</f>
        <v>0</v>
      </c>
      <c r="N12" s="21">
        <f>[1]DB!AZ12</f>
        <v>1</v>
      </c>
      <c r="O12" s="21">
        <f>IF(Rækker!B5="Res",N12+1,N12)</f>
        <v>1</v>
      </c>
      <c r="P12" s="21" t="str">
        <f>IF(I12=1,"Disket",IF(K12=1,"Udmeldt",IF(AND(C12&gt;0,D12&gt;0,F12=0),"Walkover",IF(L12&lt;&gt;M12,CONCATENATE("MR ",M12),IF(N12&lt;&gt;O12,IF(O12&gt;10,"Res 10+",CONCATENATE("Res ",O12)),"")))))</f>
        <v/>
      </c>
      <c r="Q12" s="21">
        <f>IF('Rækker - Udskrift'!F7=1,1,IF('Rækker - Udskrift'!G7="X","X",IF('Rækker - Udskrift'!H7=2,2,"")))</f>
        <v>1</v>
      </c>
      <c r="R12" s="21">
        <f>IF('Rækker - Udskrift'!F8=1,1,IF('Rækker - Udskrift'!G8="X","X",IF('Rækker - Udskrift'!H8=2,2,"")))</f>
        <v>2</v>
      </c>
      <c r="S12" s="21" t="str">
        <f>IF('Rækker - Udskrift'!F9=1,1,IF('Rækker - Udskrift'!G9="X","X",IF('Rækker - Udskrift'!H9=2,2,"")))</f>
        <v>X</v>
      </c>
      <c r="T12" s="21">
        <f>IF('Rækker - Udskrift'!F10=1,1,IF('Rækker - Udskrift'!G10="X","X",IF('Rækker - Udskrift'!H10=2,2,"")))</f>
        <v>2</v>
      </c>
      <c r="U12" s="21">
        <f>IF('Rækker - Udskrift'!F11=1,1,IF('Rækker - Udskrift'!G11="X","X",IF('Rækker - Udskrift'!H11=2,2,"")))</f>
        <v>2</v>
      </c>
      <c r="V12" s="21">
        <f>IF('Rækker - Udskrift'!F12=1,1,IF('Rækker - Udskrift'!G12="X","X",IF('Rækker - Udskrift'!H12=2,2,"")))</f>
        <v>2</v>
      </c>
      <c r="W12" s="21">
        <f>IF('Rækker - Udskrift'!F13=1,1,IF('Rækker - Udskrift'!G13="X","X",IF('Rækker - Udskrift'!H13=2,2,"")))</f>
        <v>1</v>
      </c>
      <c r="X12" s="21">
        <f>IF('Rækker - Udskrift'!F14=1,1,IF('Rækker - Udskrift'!G14="X","X",IF('Rækker - Udskrift'!H14=2,2,"")))</f>
        <v>1</v>
      </c>
      <c r="Y12" s="21">
        <f>IF('Rækker - Udskrift'!F15=1,1,IF('Rækker - Udskrift'!G15="X","X",IF('Rækker - Udskrift'!H15=2,2,"")))</f>
        <v>2</v>
      </c>
      <c r="Z12" s="21">
        <f>IF('Rækker - Udskrift'!F16=1,1,IF('Rækker - Udskrift'!G16="X","X",IF('Rækker - Udskrift'!H16=2,2,"")))</f>
        <v>1</v>
      </c>
      <c r="AA12" s="21">
        <f>IF('Rækker - Udskrift'!F17=1,1,IF('Rækker - Udskrift'!G17="X","X",IF('Rækker - Udskrift'!H17=2,2,"")))</f>
        <v>2</v>
      </c>
      <c r="AB12" s="21">
        <f>IF('Rækker - Udskrift'!F18=1,1,IF('Rækker - Udskrift'!G18="X","X",IF('Rækker - Udskrift'!H18=2,2,"")))</f>
        <v>1</v>
      </c>
      <c r="AC12" s="21">
        <f>IF('Rækker - Udskrift'!F19=1,1,IF('Rækker - Udskrift'!G19="X","X",IF('Rækker - Udskrift'!H19=2,2,"")))</f>
        <v>2</v>
      </c>
      <c r="AD12" s="21">
        <f>IF(P12&lt;&gt;"",IF(LEFT(P12,3)="Res",F1,0),IF(Q12=Q10,1,0)+IF(R12=R10,1,0)+IF(S12=S10,1,0)+IF(T12=T10,1,0)+IF(U12=U10,1,0)+IF(V12=V10,1,0)+IF(W12=W10,1,0)+IF(X12=X10,1,0)+IF(Y12=Y10,1,0)+IF(Z12=Z10,1,0)+IF(AA12=AA10,1,0)+IF(AB12=AB10,1,0)+IF(AC12=AC10,1,0))</f>
        <v>4</v>
      </c>
      <c r="AE12" s="21">
        <f>RANK(AD12,AD12:AD19,1)</f>
        <v>5</v>
      </c>
      <c r="AF12" s="21">
        <f t="shared" ref="AF12:AF19" si="0">IF(P12&lt;&gt;"",IF(LEFT(P12,3)="Res",AD12,0),AD12)</f>
        <v>4</v>
      </c>
      <c r="AG12" s="21">
        <f>IF(Q12=Q10,4096,0)+IF(R12=R10,2048,0)+IF(S12=S10,1024,0)+IF(T12=T10,512,0)+IF(U12=U10,256,0)+IF(V12=V10,128,0)+IF(W12=W10,64,0)+IF(X12=X10,32,0)+IF(Y12=Y10,16,0)+IF(Z12=Z10,8,0)+IF(AA12=AA10,4,0)+IF(AB12=AB10,2,0)+IF(AC12=AC10,1,0)</f>
        <v>6156</v>
      </c>
      <c r="AH12" s="21">
        <f>RANK(AG12,AG12:AG19,1)</f>
        <v>8</v>
      </c>
      <c r="AI12" s="21">
        <f>(AE12*65)+AH12</f>
        <v>333</v>
      </c>
      <c r="AJ12" s="21">
        <f>RANK(AI12,AI12:AI19,1)</f>
        <v>6</v>
      </c>
      <c r="AK12" s="21">
        <f t="shared" ref="AK12:AK19" si="1">IF(AND(A12&lt;&gt;"",P12=""),AD12,0)</f>
        <v>4</v>
      </c>
      <c r="AL12" s="21">
        <f t="shared" ref="AL12:AL19" si="2">IF(AND(A12&lt;&gt;"",P12=""),1,0)</f>
        <v>1</v>
      </c>
      <c r="AM12" s="21">
        <f>E12+G12</f>
        <v>2</v>
      </c>
      <c r="AN12" s="21">
        <f>AM12-AO12</f>
        <v>2</v>
      </c>
      <c r="AO12" s="21">
        <f>G12</f>
        <v>0</v>
      </c>
      <c r="AP12" s="21">
        <f>IF(C12&gt;0,IF(AM12&gt;0,COUNTIF(AM12,"&gt;0"),0),0)</f>
        <v>1</v>
      </c>
      <c r="AQ12" s="21">
        <f>IF(AP12&gt;0,AP12,MAX(AP12:AP19)+COUNTIF(AP12,"=0"))</f>
        <v>1</v>
      </c>
      <c r="AR12" s="21" t="str">
        <f>IF(A30&gt;MAX(AP12:AP19),"",DGET(A11:AQ19,"Signatur",A29:A30))</f>
        <v>Benbo</v>
      </c>
      <c r="AS12" s="21">
        <f>IF(A30&gt;MAX(AP12:AP19),0,DGET(A11:AQ19,"Deltager E",A29:A30))</f>
        <v>2</v>
      </c>
      <c r="AT12" s="21">
        <f>IF(A30&gt;MAX(AP12:AP19),0,DGET(A11:AQ19,"2. runde",A29:A30))</f>
        <v>2</v>
      </c>
      <c r="AU12" s="21">
        <f>IF(A30&gt;MAX(AP12:AP19),0,DGET(A11:AQ19,"Kval",A29:A30))</f>
        <v>0</v>
      </c>
      <c r="AV12" s="21">
        <f>IF(A30&gt;MAX(AP12:AP19),0,DGET(A11:AQ19,"Dis E",A29:A30))</f>
        <v>0</v>
      </c>
      <c r="AW12" s="21">
        <f>IF(A30&gt;MAX(AP12:AP19),0,DGET(A11:AQ19,"Udm E",A29:A30))</f>
        <v>0</v>
      </c>
      <c r="AX12" s="21">
        <f>IF(A30&gt;MAX(AP12:AP19),0,DGET(A11:AQ19,"MR E",A29:A30))</f>
        <v>0</v>
      </c>
      <c r="AY12" s="21">
        <f>IF(A30&gt;MAX(AP12:AP19),0,DGET(A11:AQ19,"Res E",A29:A30))</f>
        <v>1</v>
      </c>
    </row>
    <row r="13" spans="1:51" x14ac:dyDescent="0.15">
      <c r="A13" s="21" t="str">
        <f>[1]DB!AS13</f>
        <v>Frydkær</v>
      </c>
      <c r="B13" s="21">
        <v>2</v>
      </c>
      <c r="C13" s="21">
        <f>[1]DB!AT13</f>
        <v>1</v>
      </c>
      <c r="D13" s="21">
        <f>[1]DB!AU13</f>
        <v>0</v>
      </c>
      <c r="E13" s="21">
        <f>IF(B6=13,IF(A13&lt;&gt;"",COUNTIF(AB22:AB25,A13)-COUNTIF(Y22:Y25,A13)+D13,0),D13)</f>
        <v>0</v>
      </c>
      <c r="F13" s="21">
        <f>[1]DB!AV13</f>
        <v>1</v>
      </c>
      <c r="G13" s="21">
        <f>IF(B6=13,IF(A13&lt;&gt;"",F13-COUNTIF(AB22:AB25,A13)+COUNTIF(Y22:Y25,A13)-COUNTIF(AG22:AG25,A13)+COUNTIF(AF22:AF25,A13),0),F13)</f>
        <v>0</v>
      </c>
      <c r="H13" s="21">
        <f>[1]DB!AW13</f>
        <v>0</v>
      </c>
      <c r="I13" s="21">
        <f>IF(Rækker!D5="Disket",1,IF(M13&gt;5,1,IF(H13=1,1,0)))</f>
        <v>0</v>
      </c>
      <c r="J13" s="21">
        <f>[1]DB!AX13</f>
        <v>0</v>
      </c>
      <c r="K13" s="21">
        <f>IF(Rækker!D5="Udmeldt",1,IF(J13=1,1,0))</f>
        <v>0</v>
      </c>
      <c r="L13" s="21">
        <f>[1]DB!AY13</f>
        <v>0</v>
      </c>
      <c r="M13" s="21">
        <f>IF(Rækker!D5="MR",L13+1,L13)</f>
        <v>0</v>
      </c>
      <c r="N13" s="21">
        <f>[1]DB!AZ13</f>
        <v>1</v>
      </c>
      <c r="O13" s="21">
        <f>IF(Rækker!D5="Res",N13+1,N13)</f>
        <v>1</v>
      </c>
      <c r="P13" s="21" t="str">
        <f t="shared" ref="P13:P19" si="3">IF(I13=1,"Disket",IF(K13=1,"Udmeldt",IF(AND(C13&gt;0,D13&gt;0,F13=0),"Walkover",IF(L13&lt;&gt;M13,CONCATENATE("MR ",M13),IF(N13&lt;&gt;O13,IF(O13&gt;10,"Res 10+",CONCATENATE("Res ",O13)),"")))))</f>
        <v/>
      </c>
      <c r="Q13" s="21">
        <f>IF('Rækker - Udskrift'!I7=1,1,IF('Rækker - Udskrift'!J7="X","X",IF('Rækker - Udskrift'!K7=2,2,"")))</f>
        <v>1</v>
      </c>
      <c r="R13" s="21">
        <f>IF('Rækker - Udskrift'!I8=1,1,IF('Rækker - Udskrift'!J8="X","X",IF('Rækker - Udskrift'!K8=2,2,"")))</f>
        <v>2</v>
      </c>
      <c r="S13" s="21">
        <f>IF('Rækker - Udskrift'!I9=1,1,IF('Rækker - Udskrift'!J9="X","X",IF('Rækker - Udskrift'!K9=2,2,"")))</f>
        <v>2</v>
      </c>
      <c r="T13" s="21">
        <f>IF('Rækker - Udskrift'!I10=1,1,IF('Rækker - Udskrift'!J10="X","X",IF('Rækker - Udskrift'!K10=2,2,"")))</f>
        <v>2</v>
      </c>
      <c r="U13" s="21">
        <f>IF('Rækker - Udskrift'!I11=1,1,IF('Rækker - Udskrift'!J11="X","X",IF('Rækker - Udskrift'!K11=2,2,"")))</f>
        <v>2</v>
      </c>
      <c r="V13" s="21">
        <f>IF('Rækker - Udskrift'!I12=1,1,IF('Rækker - Udskrift'!J12="X","X",IF('Rækker - Udskrift'!K12=2,2,"")))</f>
        <v>2</v>
      </c>
      <c r="W13" s="21">
        <f>IF('Rækker - Udskrift'!I13=1,1,IF('Rækker - Udskrift'!J13="X","X",IF('Rækker - Udskrift'!K13=2,2,"")))</f>
        <v>1</v>
      </c>
      <c r="X13" s="21">
        <f>IF('Rækker - Udskrift'!I14=1,1,IF('Rækker - Udskrift'!J14="X","X",IF('Rækker - Udskrift'!K14=2,2,"")))</f>
        <v>1</v>
      </c>
      <c r="Y13" s="21">
        <f>IF('Rækker - Udskrift'!I15=1,1,IF('Rækker - Udskrift'!J15="X","X",IF('Rækker - Udskrift'!K15=2,2,"")))</f>
        <v>2</v>
      </c>
      <c r="Z13" s="21">
        <f>IF('Rækker - Udskrift'!I16=1,1,IF('Rækker - Udskrift'!J16="X","X",IF('Rækker - Udskrift'!K16=2,2,"")))</f>
        <v>1</v>
      </c>
      <c r="AA13" s="21" t="str">
        <f>IF('Rækker - Udskrift'!I17=1,1,IF('Rækker - Udskrift'!J17="X","X",IF('Rækker - Udskrift'!K17=2,2,"")))</f>
        <v>X</v>
      </c>
      <c r="AB13" s="21">
        <f>IF('Rækker - Udskrift'!I18=1,1,IF('Rækker - Udskrift'!J18="X","X",IF('Rækker - Udskrift'!K18=2,2,"")))</f>
        <v>1</v>
      </c>
      <c r="AC13" s="21">
        <f>IF('Rækker - Udskrift'!I19=1,1,IF('Rækker - Udskrift'!J19="X","X",IF('Rækker - Udskrift'!K19=2,2,"")))</f>
        <v>2</v>
      </c>
      <c r="AD13" s="21">
        <f>IF(P13&lt;&gt;"",IF(LEFT(P13,3)="Res",F1,0),IF(Q13=Q10,1,0)+IF(R13=R10,1,0)+IF(S13=S10,1,0)+IF(T13=T10,1,0)+IF(U13=U10,1,0)+IF(V13=V10,1,0)+IF(W13=W10,1,0)+IF(X13=X10,1,0)+IF(Y13=Y10,1,0)+IF(Z13=Z10,1,0)+IF(AA13=AA10,1,0)+IF(AB13=AB10,1,0)+IF(AC13=AC10,1,0))</f>
        <v>3</v>
      </c>
      <c r="AE13" s="21">
        <f>RANK(AD13,AD12:AD19,1)</f>
        <v>4</v>
      </c>
      <c r="AF13" s="21">
        <f t="shared" si="0"/>
        <v>3</v>
      </c>
      <c r="AG13" s="21">
        <f>IF(Q13=Q10,4096,0)+IF(R13=R10,2048,0)+IF(S13=S10,1024,0)+IF(T13=T10,512,0)+IF(U13=U10,256,0)+IF(V13=V10,128,0)+IF(W13=W10,64,0)+IF(X13=X10,32,0)+IF(Y13=Y10,16,0)+IF(Z13=Z10,8,0)+IF(AA13=AA10,4,0)+IF(AB13=AB10,2,0)+IF(AC13=AC10,1,0)</f>
        <v>6152</v>
      </c>
      <c r="AH13" s="21">
        <f>RANK(AG13,AG12:AG19,1)</f>
        <v>7</v>
      </c>
      <c r="AI13" s="21">
        <f t="shared" ref="AI13:AI19" si="4">(AE13*65)+AH13</f>
        <v>267</v>
      </c>
      <c r="AJ13" s="21">
        <f>RANK(AI13,AI12:AI19,1)</f>
        <v>4</v>
      </c>
      <c r="AK13" s="21">
        <f t="shared" si="1"/>
        <v>3</v>
      </c>
      <c r="AL13" s="21">
        <f t="shared" si="2"/>
        <v>1</v>
      </c>
      <c r="AM13" s="21">
        <f t="shared" ref="AM13:AM19" si="5">E13+G13</f>
        <v>0</v>
      </c>
      <c r="AN13" s="21">
        <f t="shared" ref="AN13:AN19" si="6">AM13-AO13</f>
        <v>0</v>
      </c>
      <c r="AO13" s="21">
        <f t="shared" ref="AO13:AO19" si="7">G13</f>
        <v>0</v>
      </c>
      <c r="AP13" s="21">
        <f>IF(C13&gt;0,IF(AM13&gt;0,COUNTIF(AM12:AM13,"&gt;0"),0),0)</f>
        <v>0</v>
      </c>
      <c r="AQ13" s="21">
        <f>IF(AP13&gt;0,AP13,MAX(AP12:AP19)+COUNTIF(AP12:AP13,"=0"))</f>
        <v>4</v>
      </c>
      <c r="AR13" s="21" t="str">
        <f>IF(B30&gt;MAX(AP12:AP19),"",DGET(A11:AQ19,"Signatur",B29:B30))</f>
        <v>LPHJ</v>
      </c>
      <c r="AS13" s="21">
        <f>IF(B30&gt;MAX(AP12:AP19),0,DGET(A11:AQ19,"Deltager E",B29:B30))</f>
        <v>2</v>
      </c>
      <c r="AT13" s="21">
        <f>IF(B30&gt;MAX(AP12:AP19),0,DGET(A11:AQ19,"2. runde",B29:B30))</f>
        <v>1</v>
      </c>
      <c r="AU13" s="21">
        <f>IF(B30&gt;MAX(AP12:AP19),0,DGET(A11:AQ19,"Kval",B29:B30))</f>
        <v>1</v>
      </c>
      <c r="AV13" s="21">
        <f>IF(B30&gt;MAX(AP12:AP19),0,DGET(A11:AQ19,"Dis E",B29:B30))</f>
        <v>0</v>
      </c>
      <c r="AW13" s="21">
        <f>IF(B30&gt;MAX(AP12:AP19),0,DGET(A11:AQ19,"Udm E",B29:B30))</f>
        <v>0</v>
      </c>
      <c r="AX13" s="21">
        <f>IF(B30&gt;MAX(AP12:AP19),0,DGET(A11:AQ19,"MR E",B29:B30))</f>
        <v>0</v>
      </c>
      <c r="AY13" s="21">
        <f>IF(B30&gt;MAX(AP12:AP19),0,DGET(A11:AQ19,"Res E",B29:B30))</f>
        <v>0</v>
      </c>
    </row>
    <row r="14" spans="1:51" x14ac:dyDescent="0.15">
      <c r="A14" s="21" t="str">
        <f>[1]DB!AS14</f>
        <v>Idskov</v>
      </c>
      <c r="B14" s="21">
        <v>3</v>
      </c>
      <c r="C14" s="21">
        <f>[1]DB!AT14</f>
        <v>1</v>
      </c>
      <c r="D14" s="21">
        <f>[1]DB!AU14</f>
        <v>0</v>
      </c>
      <c r="E14" s="21">
        <f>IF(B6=13,IF(A14&lt;&gt;"",COUNTIF(AB22:AB25,A14)-COUNTIF(Y22:Y25,A14)+D14,0),D14)</f>
        <v>0</v>
      </c>
      <c r="F14" s="21">
        <f>[1]DB!AV14</f>
        <v>1</v>
      </c>
      <c r="G14" s="21">
        <f>IF(B6=13,IF(A14&lt;&gt;"",F14-COUNTIF(AB22:AB25,A14)+COUNTIF(Y22:Y25,A14)-COUNTIF(AG22:AG25,A14)+COUNTIF(AF22:AF25,A14),0),F14)</f>
        <v>0</v>
      </c>
      <c r="H14" s="21">
        <f>[1]DB!AW14</f>
        <v>0</v>
      </c>
      <c r="I14" s="21">
        <f>IF(Rækker!F5="Disket",1,IF(M14&gt;5,1,IF(H14=1,1,0)))</f>
        <v>0</v>
      </c>
      <c r="J14" s="21">
        <f>[1]DB!AX14</f>
        <v>0</v>
      </c>
      <c r="K14" s="21">
        <f>IF(Rækker!F5="Udmeldt",1,IF(J14=1,1,0))</f>
        <v>0</v>
      </c>
      <c r="L14" s="21">
        <f>[1]DB!AY14</f>
        <v>0</v>
      </c>
      <c r="M14" s="21">
        <f>IF(Rækker!F5="MR",L14+1,L14)</f>
        <v>0</v>
      </c>
      <c r="N14" s="21">
        <f>[1]DB!AZ14</f>
        <v>0</v>
      </c>
      <c r="O14" s="21">
        <f>IF(Rækker!F5="Res",N14+1,N14)</f>
        <v>1</v>
      </c>
      <c r="P14" s="21" t="str">
        <f t="shared" si="3"/>
        <v>Res 1</v>
      </c>
      <c r="Q14" s="21" t="str">
        <f>IF('Rækker - Udskrift'!L7=1,1,IF('Rækker - Udskrift'!M7="X","X",IF('Rækker - Udskrift'!N7=2,2,"")))</f>
        <v/>
      </c>
      <c r="R14" s="21" t="str">
        <f>IF('Rækker - Udskrift'!L8=1,1,IF('Rækker - Udskrift'!M8="X","X",IF('Rækker - Udskrift'!N8=2,2,"")))</f>
        <v/>
      </c>
      <c r="S14" s="21" t="str">
        <f>IF('Rækker - Udskrift'!L9=1,1,IF('Rækker - Udskrift'!M9="X","X",IF('Rækker - Udskrift'!N9=2,2,"")))</f>
        <v/>
      </c>
      <c r="T14" s="21" t="str">
        <f>IF('Rækker - Udskrift'!L10=1,1,IF('Rækker - Udskrift'!M10="X","X",IF('Rækker - Udskrift'!N10=2,2,"")))</f>
        <v/>
      </c>
      <c r="U14" s="21" t="str">
        <f>IF('Rækker - Udskrift'!L11=1,1,IF('Rækker - Udskrift'!M11="X","X",IF('Rækker - Udskrift'!N11=2,2,"")))</f>
        <v/>
      </c>
      <c r="V14" s="21" t="str">
        <f>IF('Rækker - Udskrift'!L12=1,1,IF('Rækker - Udskrift'!M12="X","X",IF('Rækker - Udskrift'!N12=2,2,"")))</f>
        <v/>
      </c>
      <c r="W14" s="21" t="str">
        <f>IF('Rækker - Udskrift'!L13=1,1,IF('Rækker - Udskrift'!M13="X","X",IF('Rækker - Udskrift'!N13=2,2,"")))</f>
        <v/>
      </c>
      <c r="X14" s="21" t="str">
        <f>IF('Rækker - Udskrift'!L14=1,1,IF('Rækker - Udskrift'!M14="X","X",IF('Rækker - Udskrift'!N14=2,2,"")))</f>
        <v/>
      </c>
      <c r="Y14" s="21" t="str">
        <f>IF('Rækker - Udskrift'!L15=1,1,IF('Rækker - Udskrift'!M15="X","X",IF('Rækker - Udskrift'!N15=2,2,"")))</f>
        <v/>
      </c>
      <c r="Z14" s="21" t="str">
        <f>IF('Rækker - Udskrift'!L16=1,1,IF('Rækker - Udskrift'!M16="X","X",IF('Rækker - Udskrift'!N16=2,2,"")))</f>
        <v/>
      </c>
      <c r="AA14" s="21" t="str">
        <f>IF('Rækker - Udskrift'!L17=1,1,IF('Rækker - Udskrift'!M17="X","X",IF('Rækker - Udskrift'!N17=2,2,"")))</f>
        <v/>
      </c>
      <c r="AB14" s="21" t="str">
        <f>IF('Rækker - Udskrift'!L18=1,1,IF('Rækker - Udskrift'!M18="X","X",IF('Rækker - Udskrift'!N18=2,2,"")))</f>
        <v/>
      </c>
      <c r="AC14" s="21" t="str">
        <f>IF('Rækker - Udskrift'!L19=1,1,IF('Rækker - Udskrift'!M19="X","X",IF('Rækker - Udskrift'!N19=2,2,"")))</f>
        <v/>
      </c>
      <c r="AD14" s="21">
        <f>IF(P14&lt;&gt;"",IF(LEFT(P14,3)="Res",F1,0),IF(Q14=Q10,1,0)+IF(R14=R10,1,0)+IF(S14=S10,1,0)+IF(T14=T10,1,0)+IF(U14=U10,1,0)+IF(V14=V10,1,0)+IF(W14=W10,1,0)+IF(X14=X10,1,0)+IF(Y14=Y10,1,0)+IF(Z14=Z10,1,0)+IF(AA14=AA10,1,0)+IF(AB14=AB10,1,0)+IF(AC14=AC10,1,0))</f>
        <v>4</v>
      </c>
      <c r="AE14" s="21">
        <f>RANK(AD14,AD12:AD19,1)</f>
        <v>5</v>
      </c>
      <c r="AF14" s="21">
        <f t="shared" si="0"/>
        <v>4</v>
      </c>
      <c r="AG14" s="21">
        <f>IF(Q14=Q10,4096,0)+IF(R14=R10,2048,0)+IF(S14=S10,1024,0)+IF(T14=T10,512,0)+IF(U14=U10,256,0)+IF(V14=V10,128,0)+IF(W14=W10,64,0)+IF(X14=X10,32,0)+IF(Y14=Y10,16,0)+IF(Z14=Z10,8,0)+IF(AA14=AA10,4,0)+IF(AB14=AB10,2,0)+IF(AC14=AC10,1,0)</f>
        <v>0</v>
      </c>
      <c r="AH14" s="21">
        <f>RANK(AG14,AG12:AG19,1)</f>
        <v>1</v>
      </c>
      <c r="AI14" s="21">
        <f t="shared" si="4"/>
        <v>326</v>
      </c>
      <c r="AJ14" s="21">
        <f>RANK(AI14,AI12:AI19,1)</f>
        <v>5</v>
      </c>
      <c r="AK14" s="21">
        <f t="shared" si="1"/>
        <v>0</v>
      </c>
      <c r="AL14" s="21">
        <f t="shared" si="2"/>
        <v>0</v>
      </c>
      <c r="AM14" s="21">
        <f t="shared" si="5"/>
        <v>0</v>
      </c>
      <c r="AN14" s="21">
        <f t="shared" si="6"/>
        <v>0</v>
      </c>
      <c r="AO14" s="21">
        <f t="shared" si="7"/>
        <v>0</v>
      </c>
      <c r="AP14" s="21">
        <f>IF(C14&gt;0,IF(AM14&gt;0,COUNTIF(AM12:AM14,"&gt;0"),0),0)</f>
        <v>0</v>
      </c>
      <c r="AQ14" s="21">
        <f>IF(AP14&gt;0,AP14,MAX(AP12:AP19)+COUNTIF(AP12:AP14,"=0"))</f>
        <v>5</v>
      </c>
      <c r="AR14" s="21" t="str">
        <f>IF(C30&gt;MAX(AP12:AP19),"",DGET(A11:AQ19,"Signatur",C29:C30))</f>
        <v>Robbo</v>
      </c>
      <c r="AS14" s="21">
        <f>IF(C30&gt;MAX(AP12:AP19),0,DGET(A11:AQ19,"Deltager E",C29:C30))</f>
        <v>1</v>
      </c>
      <c r="AT14" s="21">
        <f>IF(C30&gt;MAX(AP12:AP19),0,DGET(A11:AQ19,"2. runde",C29:C30))</f>
        <v>0</v>
      </c>
      <c r="AU14" s="21">
        <f>IF(C30&gt;MAX(AP12:AP19),0,DGET(A11:AQ19,"Kval",C29:C30))</f>
        <v>1</v>
      </c>
      <c r="AV14" s="21">
        <f>IF(C30&gt;MAX(AP12:AP19),0,DGET(A11:AQ19,"Dis E",C29:C30))</f>
        <v>0</v>
      </c>
      <c r="AW14" s="21">
        <f>IF(C30&gt;MAX(AP12:AP19),0,DGET(A11:AQ19,"Udm E",C29:C30))</f>
        <v>0</v>
      </c>
      <c r="AX14" s="21">
        <f>IF(C30&gt;MAX(AP12:AP19),0,DGET(A11:AQ19,"MR E",C29:C30))</f>
        <v>0</v>
      </c>
      <c r="AY14" s="21">
        <f>IF(C30&gt;MAX(AP12:AP19),0,DGET(A11:AQ19,"Res E",C29:C30))</f>
        <v>0</v>
      </c>
    </row>
    <row r="15" spans="1:51" x14ac:dyDescent="0.15">
      <c r="A15" s="21" t="str">
        <f>[1]DB!AS15</f>
        <v>LPHJ</v>
      </c>
      <c r="B15" s="21">
        <v>4</v>
      </c>
      <c r="C15" s="21">
        <f>[1]DB!AT15</f>
        <v>2</v>
      </c>
      <c r="D15" s="21">
        <f>[1]DB!AU15</f>
        <v>1</v>
      </c>
      <c r="E15" s="21">
        <f>IF(B6=13,IF(A15&lt;&gt;"",COUNTIF(AB22:AB25,A15)-COUNTIF(Y22:Y25,A15)+D15,0),D15)</f>
        <v>1</v>
      </c>
      <c r="F15" s="21">
        <f>[1]DB!AV15</f>
        <v>1</v>
      </c>
      <c r="G15" s="21">
        <f>IF(B6=13,IF(A15&lt;&gt;"",F15-COUNTIF(AB22:AB25,A15)+COUNTIF(Y22:Y25,A15)-COUNTIF(AG22:AG25,A15)+COUNTIF(AF22:AF25,A15),0),F15)</f>
        <v>1</v>
      </c>
      <c r="H15" s="21">
        <f>[1]DB!AW15</f>
        <v>0</v>
      </c>
      <c r="I15" s="21">
        <f>IF(Rækker!H5="Disket",1,IF(M15&gt;5,1,IF(H15=1,1,0)))</f>
        <v>0</v>
      </c>
      <c r="J15" s="21">
        <f>[1]DB!AX15</f>
        <v>0</v>
      </c>
      <c r="K15" s="21">
        <f>IF(Rækker!H5="Udmeldt",1,IF(J15=1,1,0))</f>
        <v>0</v>
      </c>
      <c r="L15" s="21">
        <f>[1]DB!AY15</f>
        <v>0</v>
      </c>
      <c r="M15" s="21">
        <f>IF(Rækker!H5="MR",L15+1,L15)</f>
        <v>0</v>
      </c>
      <c r="N15" s="21">
        <f>[1]DB!AZ15</f>
        <v>0</v>
      </c>
      <c r="O15" s="21">
        <f>IF(Rækker!H5="Res",N15+1,N15)</f>
        <v>0</v>
      </c>
      <c r="P15" s="21" t="str">
        <f t="shared" si="3"/>
        <v/>
      </c>
      <c r="Q15" s="21">
        <f>IF('Rækker - Udskrift'!O7=1,1,IF('Rækker - Udskrift'!P7="X","X",IF('Rækker - Udskrift'!Q7=2,2,"")))</f>
        <v>1</v>
      </c>
      <c r="R15" s="21" t="str">
        <f>IF('Rækker - Udskrift'!O8=1,1,IF('Rækker - Udskrift'!P8="X","X",IF('Rækker - Udskrift'!Q8=2,2,"")))</f>
        <v>X</v>
      </c>
      <c r="S15" s="21">
        <f>IF('Rækker - Udskrift'!O9=1,1,IF('Rækker - Udskrift'!P9="X","X",IF('Rækker - Udskrift'!Q9=2,2,"")))</f>
        <v>1</v>
      </c>
      <c r="T15" s="21">
        <f>IF('Rækker - Udskrift'!O10=1,1,IF('Rækker - Udskrift'!P10="X","X",IF('Rækker - Udskrift'!Q10=2,2,"")))</f>
        <v>2</v>
      </c>
      <c r="U15" s="21">
        <f>IF('Rækker - Udskrift'!O11=1,1,IF('Rækker - Udskrift'!P11="X","X",IF('Rækker - Udskrift'!Q11=2,2,"")))</f>
        <v>2</v>
      </c>
      <c r="V15" s="21">
        <f>IF('Rækker - Udskrift'!O12=1,1,IF('Rækker - Udskrift'!P12="X","X",IF('Rækker - Udskrift'!Q12=2,2,"")))</f>
        <v>2</v>
      </c>
      <c r="W15" s="21">
        <f>IF('Rækker - Udskrift'!O13=1,1,IF('Rækker - Udskrift'!P13="X","X",IF('Rækker - Udskrift'!Q13=2,2,"")))</f>
        <v>1</v>
      </c>
      <c r="X15" s="21">
        <f>IF('Rækker - Udskrift'!O14=1,1,IF('Rækker - Udskrift'!P14="X","X",IF('Rækker - Udskrift'!Q14=2,2,"")))</f>
        <v>1</v>
      </c>
      <c r="Y15" s="21">
        <f>IF('Rækker - Udskrift'!O15=1,1,IF('Rækker - Udskrift'!P15="X","X",IF('Rækker - Udskrift'!Q15=2,2,"")))</f>
        <v>1</v>
      </c>
      <c r="Z15" s="21">
        <f>IF('Rækker - Udskrift'!O16=1,1,IF('Rækker - Udskrift'!P16="X","X",IF('Rækker - Udskrift'!Q16=2,2,"")))</f>
        <v>1</v>
      </c>
      <c r="AA15" s="21">
        <f>IF('Rækker - Udskrift'!O17=1,1,IF('Rækker - Udskrift'!P17="X","X",IF('Rækker - Udskrift'!Q17=2,2,"")))</f>
        <v>2</v>
      </c>
      <c r="AB15" s="21">
        <f>IF('Rækker - Udskrift'!O18=1,1,IF('Rækker - Udskrift'!P18="X","X",IF('Rækker - Udskrift'!Q18=2,2,"")))</f>
        <v>1</v>
      </c>
      <c r="AC15" s="21">
        <f>IF('Rækker - Udskrift'!O19=1,1,IF('Rækker - Udskrift'!P19="X","X",IF('Rækker - Udskrift'!Q19=2,2,"")))</f>
        <v>2</v>
      </c>
      <c r="AD15" s="21">
        <f>IF(P15&lt;&gt;"",IF(LEFT(P15,3)="Res",F1,0),IF(Q15=Q10,1,0)+IF(R15=R10,1,0)+IF(S15=S10,1,0)+IF(T15=T10,1,0)+IF(U15=U10,1,0)+IF(V15=V10,1,0)+IF(W15=W10,1,0)+IF(X15=X10,1,0)+IF(Y15=Y10,1,0)+IF(Z15=Z10,1,0)+IF(AA15=AA10,1,0)+IF(AB15=AB10,1,0)+IF(AC15=AC10,1,0))</f>
        <v>5</v>
      </c>
      <c r="AE15" s="21">
        <f>RANK(AD15,AD12:AD19,1)</f>
        <v>7</v>
      </c>
      <c r="AF15" s="21">
        <f t="shared" si="0"/>
        <v>5</v>
      </c>
      <c r="AG15" s="21">
        <f>IF(Q15=Q10,4096,0)+IF(R15=R10,2048,0)+IF(S15=S10,1024,0)+IF(T15=T10,512,0)+IF(U15=U10,256,0)+IF(V15=V10,128,0)+IF(W15=W10,64,0)+IF(X15=X10,32,0)+IF(Y15=Y10,16,0)+IF(Z15=Z10,8,0)+IF(AA15=AA10,4,0)+IF(AB15=AB10,2,0)+IF(AC15=AC10,1,0)</f>
        <v>5148</v>
      </c>
      <c r="AH15" s="21">
        <f>RANK(AG15,AG12:AG19,1)</f>
        <v>5</v>
      </c>
      <c r="AI15" s="21">
        <f t="shared" si="4"/>
        <v>460</v>
      </c>
      <c r="AJ15" s="21">
        <f>RANK(AI15,AI12:AI19,1)</f>
        <v>7</v>
      </c>
      <c r="AK15" s="21">
        <f t="shared" si="1"/>
        <v>5</v>
      </c>
      <c r="AL15" s="21">
        <f t="shared" si="2"/>
        <v>1</v>
      </c>
      <c r="AM15" s="21">
        <f t="shared" si="5"/>
        <v>2</v>
      </c>
      <c r="AN15" s="21">
        <f t="shared" si="6"/>
        <v>1</v>
      </c>
      <c r="AO15" s="21">
        <f t="shared" si="7"/>
        <v>1</v>
      </c>
      <c r="AP15" s="21">
        <f>IF(C15&gt;0,IF(AM15&gt;0,COUNTIF(AM12:AM15,"&gt;0"),0),0)</f>
        <v>2</v>
      </c>
      <c r="AQ15" s="21">
        <f>IF(AP15&gt;0,AP15,MAX(AP12:AP19)+COUNTIF(AP12:AP15,"=0"))</f>
        <v>2</v>
      </c>
      <c r="AR15" s="21" t="str">
        <f>IF(D30&gt;MAX(AP12:AP19),"",DGET(A11:AQ19,"Signatur",D29:D30))</f>
        <v/>
      </c>
      <c r="AS15" s="21">
        <f>IF(D30&gt;MAX(AP12:AP19),0,DGET(A11:AQ19,"Deltager E",D29:D30))</f>
        <v>0</v>
      </c>
      <c r="AT15" s="21">
        <f>IF(D30&gt;MAX(AP12:AP19),0,DGET(A11:AQ19,"2. runde",D29:D30))</f>
        <v>0</v>
      </c>
      <c r="AU15" s="21">
        <f>IF(D30&gt;MAX(AP12:AP19),0,DGET(A11:AQ19,"Kval",D29:D30))</f>
        <v>0</v>
      </c>
      <c r="AV15" s="21">
        <f>IF(D30&gt;MAX(AP12:AP19),0,DGET(A11:AQ19,"Dis E",D29:D30))</f>
        <v>0</v>
      </c>
      <c r="AW15" s="21">
        <f>IF(D30&gt;MAX(AP12:AP19),0,DGET(A11:AQ19,"Udm E",D29:D30))</f>
        <v>0</v>
      </c>
      <c r="AX15" s="21">
        <f>IF(D30&gt;MAX(AP12:AP19),0,DGET(A11:AQ19,"MR E",D29:D30))</f>
        <v>0</v>
      </c>
      <c r="AY15" s="21">
        <f>IF(D30&gt;MAX(AP12:AP19),0,DGET(A11:AQ19,"Res E",D29:D30))</f>
        <v>0</v>
      </c>
    </row>
    <row r="16" spans="1:51" x14ac:dyDescent="0.15">
      <c r="A16" s="21" t="str">
        <f>[1]DB!AS16</f>
        <v>Robbo</v>
      </c>
      <c r="B16" s="21">
        <v>5</v>
      </c>
      <c r="C16" s="21">
        <f>[1]DB!AT16</f>
        <v>1</v>
      </c>
      <c r="D16" s="21">
        <f>[1]DB!AU16</f>
        <v>0</v>
      </c>
      <c r="E16" s="21">
        <f>IF(B6=13,IF(A16&lt;&gt;"",COUNTIF(AB22:AB25,A16)-COUNTIF(Y22:Y25,A16)+D16,0),D16)</f>
        <v>0</v>
      </c>
      <c r="F16" s="21">
        <f>[1]DB!AV16</f>
        <v>1</v>
      </c>
      <c r="G16" s="21">
        <f>IF(B6=13,IF(A16&lt;&gt;"",F16-COUNTIF(AB22:AB25,A16)+COUNTIF(Y22:Y25,A16)-COUNTIF(AG22:AG25,A16)+COUNTIF(AF22:AF25,A16),0),F16)</f>
        <v>1</v>
      </c>
      <c r="H16" s="21">
        <f>[1]DB!AW16</f>
        <v>0</v>
      </c>
      <c r="I16" s="21">
        <f>IF(Rækker!J5="Disket",1,IF(M16&gt;5,1,IF(H16=1,1,0)))</f>
        <v>0</v>
      </c>
      <c r="J16" s="21">
        <f>[1]DB!AX16</f>
        <v>0</v>
      </c>
      <c r="K16" s="21">
        <f>IF(Rækker!J5="Udmeldt",1,IF(J16=1,1,0))</f>
        <v>0</v>
      </c>
      <c r="L16" s="21">
        <f>[1]DB!AY16</f>
        <v>0</v>
      </c>
      <c r="M16" s="21">
        <f>IF(Rækker!J5="MR",L16+1,L16)</f>
        <v>0</v>
      </c>
      <c r="N16" s="21">
        <f>[1]DB!AZ16</f>
        <v>0</v>
      </c>
      <c r="O16" s="21">
        <f>IF(Rækker!J5="Res",N16+1,N16)</f>
        <v>0</v>
      </c>
      <c r="P16" s="21" t="str">
        <f t="shared" si="3"/>
        <v/>
      </c>
      <c r="Q16" s="21">
        <f>IF('Rækker - Udskrift'!R7=1,1,IF('Rækker - Udskrift'!S7="X","X",IF('Rækker - Udskrift'!T7=2,2,"")))</f>
        <v>1</v>
      </c>
      <c r="R16" s="21" t="str">
        <f>IF('Rækker - Udskrift'!R8=1,1,IF('Rækker - Udskrift'!S8="X","X",IF('Rækker - Udskrift'!T8=2,2,"")))</f>
        <v>X</v>
      </c>
      <c r="S16" s="21">
        <f>IF('Rækker - Udskrift'!R9=1,1,IF('Rækker - Udskrift'!S9="X","X",IF('Rækker - Udskrift'!T9=2,2,"")))</f>
        <v>1</v>
      </c>
      <c r="T16" s="21">
        <f>IF('Rækker - Udskrift'!R10=1,1,IF('Rækker - Udskrift'!S10="X","X",IF('Rækker - Udskrift'!T10=2,2,"")))</f>
        <v>2</v>
      </c>
      <c r="U16" s="21">
        <f>IF('Rækker - Udskrift'!R11=1,1,IF('Rækker - Udskrift'!S11="X","X",IF('Rækker - Udskrift'!T11=2,2,"")))</f>
        <v>2</v>
      </c>
      <c r="V16" s="21">
        <f>IF('Rækker - Udskrift'!R12=1,1,IF('Rækker - Udskrift'!S12="X","X",IF('Rækker - Udskrift'!T12=2,2,"")))</f>
        <v>2</v>
      </c>
      <c r="W16" s="21">
        <f>IF('Rækker - Udskrift'!R13=1,1,IF('Rækker - Udskrift'!S13="X","X",IF('Rækker - Udskrift'!T13=2,2,"")))</f>
        <v>1</v>
      </c>
      <c r="X16" s="21">
        <f>IF('Rækker - Udskrift'!R14=1,1,IF('Rækker - Udskrift'!S14="X","X",IF('Rækker - Udskrift'!T14=2,2,"")))</f>
        <v>1</v>
      </c>
      <c r="Y16" s="21">
        <f>IF('Rækker - Udskrift'!R15=1,1,IF('Rækker - Udskrift'!S15="X","X",IF('Rækker - Udskrift'!T15=2,2,"")))</f>
        <v>1</v>
      </c>
      <c r="Z16" s="21">
        <f>IF('Rækker - Udskrift'!R16=1,1,IF('Rækker - Udskrift'!S16="X","X",IF('Rækker - Udskrift'!T16=2,2,"")))</f>
        <v>1</v>
      </c>
      <c r="AA16" s="21">
        <f>IF('Rækker - Udskrift'!R17=1,1,IF('Rækker - Udskrift'!S17="X","X",IF('Rækker - Udskrift'!T17=2,2,"")))</f>
        <v>2</v>
      </c>
      <c r="AB16" s="21">
        <f>IF('Rækker - Udskrift'!R18=1,1,IF('Rækker - Udskrift'!S18="X","X",IF('Rækker - Udskrift'!T18=2,2,"")))</f>
        <v>1</v>
      </c>
      <c r="AC16" s="21">
        <f>IF('Rækker - Udskrift'!R19=1,1,IF('Rækker - Udskrift'!S19="X","X",IF('Rækker - Udskrift'!T19=2,2,"")))</f>
        <v>2</v>
      </c>
      <c r="AD16" s="21">
        <f>IF(P16&lt;&gt;"",IF(LEFT(P16,3)="Res",F1,0),IF(Q16=Q10,1,0)+IF(R16=R10,1,0)+IF(S16=S10,1,0)+IF(T16=T10,1,0)+IF(U16=U10,1,0)+IF(V16=V10,1,0)+IF(W16=W10,1,0)+IF(X16=X10,1,0)+IF(Y16=Y10,1,0)+IF(Z16=Z10,1,0)+IF(AA16=AA10,1,0)+IF(AB16=AB10,1,0)+IF(AC16=AC10,1,0))</f>
        <v>5</v>
      </c>
      <c r="AE16" s="21">
        <f>RANK(AD16,AD12:AD19,1)</f>
        <v>7</v>
      </c>
      <c r="AF16" s="21">
        <f t="shared" si="0"/>
        <v>5</v>
      </c>
      <c r="AG16" s="21">
        <f>IF(Q16=Q10,4096,0)+IF(R16=R10,2048,0)+IF(S16=S10,1024,0)+IF(T16=T10,512,0)+IF(U16=U10,256,0)+IF(V16=V10,128,0)+IF(W16=W10,64,0)+IF(X16=X10,32,0)+IF(Y16=Y10,16,0)+IF(Z16=Z10,8,0)+IF(AA16=AA10,4,0)+IF(AB16=AB10,2,0)+IF(AC16=AC10,1,0)</f>
        <v>5148</v>
      </c>
      <c r="AH16" s="21">
        <f>RANK(AG16,AG12:AG19,1)</f>
        <v>5</v>
      </c>
      <c r="AI16" s="21">
        <f t="shared" si="4"/>
        <v>460</v>
      </c>
      <c r="AJ16" s="21">
        <f>RANK(AI16,AI12:AI19,1)</f>
        <v>7</v>
      </c>
      <c r="AK16" s="21">
        <f t="shared" si="1"/>
        <v>5</v>
      </c>
      <c r="AL16" s="21">
        <f t="shared" si="2"/>
        <v>1</v>
      </c>
      <c r="AM16" s="21">
        <f t="shared" si="5"/>
        <v>1</v>
      </c>
      <c r="AN16" s="21">
        <f t="shared" si="6"/>
        <v>0</v>
      </c>
      <c r="AO16" s="21">
        <f t="shared" si="7"/>
        <v>1</v>
      </c>
      <c r="AP16" s="21">
        <f>IF(C16&gt;0,IF(AM16&gt;0,COUNTIF(AM12:AM16,"&gt;0"),0),0)</f>
        <v>3</v>
      </c>
      <c r="AQ16" s="21">
        <f>IF(AP16&gt;0,AP16,MAX(AP12:AP19)+COUNTIF(AP12:AP16,"=0"))</f>
        <v>3</v>
      </c>
      <c r="AR16" s="21" t="str">
        <f>IF(E30&gt;MAX(AP12:AP19),"",DGET(A11:AQ19,"Signatur",E29:E30))</f>
        <v/>
      </c>
      <c r="AS16" s="21">
        <f>IF(E30&gt;MAX(AP12:AP19),0,DGET(A11:AQ19,"Deltager E",E29:E30))</f>
        <v>0</v>
      </c>
      <c r="AT16" s="21">
        <f>IF(E30&gt;MAX(AP12:AP19),0,DGET(A11:AQ19,"2. runde",E29:E30))</f>
        <v>0</v>
      </c>
      <c r="AU16" s="21">
        <f>IF(E30&gt;MAX(AP12:AP19),0,DGET(A11:AQ19,"Kval",E29:E30))</f>
        <v>0</v>
      </c>
      <c r="AV16" s="21">
        <f>IF(E30&gt;MAX(AP12:AP19),0,DGET(A11:AQ19,"Dis E",E29:E30))</f>
        <v>0</v>
      </c>
      <c r="AW16" s="21">
        <f>IF(E30&gt;MAX(AP12:AP19),0,DGET(A11:AQ19,"Udm E",E29:E30))</f>
        <v>0</v>
      </c>
      <c r="AX16" s="21">
        <f>IF(E30&gt;MAX(AP12:AP19),0,DGET(A11:AQ19,"MR E",E29:E30))</f>
        <v>0</v>
      </c>
      <c r="AY16" s="21">
        <f>IF(E30&gt;MAX(AP12:AP19),0,DGET(A11:AQ19,"Res E",E29:E30))</f>
        <v>0</v>
      </c>
    </row>
    <row r="17" spans="1:51" x14ac:dyDescent="0.15">
      <c r="A17" s="21" t="str">
        <f>[1]DB!AS17</f>
        <v/>
      </c>
      <c r="B17" s="21">
        <v>6</v>
      </c>
      <c r="C17" s="21">
        <f>[1]DB!AT17</f>
        <v>0</v>
      </c>
      <c r="D17" s="21">
        <f>[1]DB!AU17</f>
        <v>0</v>
      </c>
      <c r="E17" s="21">
        <f>IF(B6=13,IF(A17&lt;&gt;"",COUNTIF(AB22:AB25,A17)-COUNTIF(Y22:Y25,A17)+D17,0),D17)</f>
        <v>0</v>
      </c>
      <c r="F17" s="21">
        <f>[1]DB!AV17</f>
        <v>0</v>
      </c>
      <c r="G17" s="21">
        <f>IF(B6=13,IF(A17&lt;&gt;"",F17-COUNTIF(AB22:AB25,A17)+COUNTIF(Y22:Y25,A17)-COUNTIF(AG22:AG25,A17)+COUNTIF(AF22:AF25,A17),0),F17)</f>
        <v>0</v>
      </c>
      <c r="H17" s="21">
        <f>[1]DB!AW17</f>
        <v>0</v>
      </c>
      <c r="I17" s="21">
        <f>IF(Rækker!L5="Disket",1,IF(M17&gt;5,1,IF(H17=1,1,0)))</f>
        <v>0</v>
      </c>
      <c r="J17" s="21">
        <f>[1]DB!AX17</f>
        <v>0</v>
      </c>
      <c r="K17" s="21">
        <f>IF(Rækker!L5="Udmeldt",1,IF(J17=1,1,0))</f>
        <v>0</v>
      </c>
      <c r="L17" s="21">
        <f>[1]DB!AY17</f>
        <v>0</v>
      </c>
      <c r="M17" s="21">
        <f>IF(Rækker!L5="MR",L17+1,L17)</f>
        <v>0</v>
      </c>
      <c r="N17" s="21">
        <f>[1]DB!AZ17</f>
        <v>0</v>
      </c>
      <c r="O17" s="21">
        <f>IF(Rækker!L5="Res",N17+1,N17)</f>
        <v>0</v>
      </c>
      <c r="P17" s="21" t="str">
        <f t="shared" si="3"/>
        <v/>
      </c>
      <c r="Q17" s="21" t="str">
        <f>IF('Rækker - Udskrift'!U7=1,1,IF('Rækker - Udskrift'!V7="X","X",IF('Rækker - Udskrift'!W7=2,2,"")))</f>
        <v/>
      </c>
      <c r="R17" s="21" t="str">
        <f>IF('Rækker - Udskrift'!U8=1,1,IF('Rækker - Udskrift'!V8="X","X",IF('Rækker - Udskrift'!W8=2,2,"")))</f>
        <v/>
      </c>
      <c r="S17" s="21" t="str">
        <f>IF('Rækker - Udskrift'!U9=1,1,IF('Rækker - Udskrift'!V9="X","X",IF('Rækker - Udskrift'!W9=2,2,"")))</f>
        <v/>
      </c>
      <c r="T17" s="21" t="str">
        <f>IF('Rækker - Udskrift'!U10=1,1,IF('Rækker - Udskrift'!V10="X","X",IF('Rækker - Udskrift'!W10=2,2,"")))</f>
        <v/>
      </c>
      <c r="U17" s="21" t="str">
        <f>IF('Rækker - Udskrift'!U11=1,1,IF('Rækker - Udskrift'!V11="X","X",IF('Rækker - Udskrift'!W11=2,2,"")))</f>
        <v/>
      </c>
      <c r="V17" s="21" t="str">
        <f>IF('Rækker - Udskrift'!U12=1,1,IF('Rækker - Udskrift'!V12="X","X",IF('Rækker - Udskrift'!W12=2,2,"")))</f>
        <v/>
      </c>
      <c r="W17" s="21" t="str">
        <f>IF('Rækker - Udskrift'!U13=1,1,IF('Rækker - Udskrift'!V13="X","X",IF('Rækker - Udskrift'!W13=2,2,"")))</f>
        <v/>
      </c>
      <c r="X17" s="21" t="str">
        <f>IF('Rækker - Udskrift'!U14=1,1,IF('Rækker - Udskrift'!V14="X","X",IF('Rækker - Udskrift'!W14=2,2,"")))</f>
        <v/>
      </c>
      <c r="Y17" s="21" t="str">
        <f>IF('Rækker - Udskrift'!U15=1,1,IF('Rækker - Udskrift'!V15="X","X",IF('Rækker - Udskrift'!W15=2,2,"")))</f>
        <v/>
      </c>
      <c r="Z17" s="21" t="str">
        <f>IF('Rækker - Udskrift'!U16=1,1,IF('Rækker - Udskrift'!V16="X","X",IF('Rækker - Udskrift'!W16=2,2,"")))</f>
        <v/>
      </c>
      <c r="AA17" s="21" t="str">
        <f>IF('Rækker - Udskrift'!U17=1,1,IF('Rækker - Udskrift'!V17="X","X",IF('Rækker - Udskrift'!W17=2,2,"")))</f>
        <v/>
      </c>
      <c r="AB17" s="21" t="str">
        <f>IF('Rækker - Udskrift'!U18=1,1,IF('Rækker - Udskrift'!V18="X","X",IF('Rækker - Udskrift'!W18=2,2,"")))</f>
        <v/>
      </c>
      <c r="AC17" s="21" t="str">
        <f>IF('Rækker - Udskrift'!U19=1,1,IF('Rækker - Udskrift'!V19="X","X",IF('Rækker - Udskrift'!W19=2,2,"")))</f>
        <v/>
      </c>
      <c r="AD17" s="21">
        <f>IF(P17&lt;&gt;"",IF(LEFT(P17,3)="Res",F1,0),IF(Q17=Q10,1,0)+IF(R17=R10,1,0)+IF(S17=S10,1,0)+IF(T17=T10,1,0)+IF(U17=U10,1,0)+IF(V17=V10,1,0)+IF(W17=W10,1,0)+IF(X17=X10,1,0)+IF(Y17=Y10,1,0)+IF(Z17=Z10,1,0)+IF(AA17=AA10,1,0)+IF(AB17=AB10,1,0)+IF(AC17=AC10,1,0))</f>
        <v>0</v>
      </c>
      <c r="AE17" s="21">
        <f>RANK(AD17,AD12:AD19,1)</f>
        <v>1</v>
      </c>
      <c r="AF17" s="21">
        <f t="shared" si="0"/>
        <v>0</v>
      </c>
      <c r="AG17" s="21">
        <f>IF(Q17=Q10,4096,0)+IF(R17=R10,2048,0)+IF(S17=S10,1024,0)+IF(T17=T10,512,0)+IF(U17=U10,256,0)+IF(V17=V10,128,0)+IF(W17=W10,64,0)+IF(X17=X10,32,0)+IF(Y17=Y10,16,0)+IF(Z17=Z10,8,0)+IF(AA17=AA10,4,0)+IF(AB17=AB10,2,0)+IF(AC17=AC10,1,0)</f>
        <v>0</v>
      </c>
      <c r="AH17" s="21">
        <f>RANK(AG17,AG12:AG19,1)</f>
        <v>1</v>
      </c>
      <c r="AI17" s="21">
        <f t="shared" si="4"/>
        <v>66</v>
      </c>
      <c r="AJ17" s="21">
        <f>RANK(AI17,AI12:AI19,1)</f>
        <v>1</v>
      </c>
      <c r="AK17" s="21">
        <f t="shared" si="1"/>
        <v>0</v>
      </c>
      <c r="AL17" s="21">
        <f t="shared" si="2"/>
        <v>0</v>
      </c>
      <c r="AM17" s="21">
        <f t="shared" si="5"/>
        <v>0</v>
      </c>
      <c r="AN17" s="21">
        <f t="shared" si="6"/>
        <v>0</v>
      </c>
      <c r="AO17" s="21">
        <f t="shared" si="7"/>
        <v>0</v>
      </c>
      <c r="AP17" s="21">
        <f>IF(C17&gt;0,IF(AM17&gt;0,COUNTIF(AM12:AM17,"&gt;0"),0),0)</f>
        <v>0</v>
      </c>
      <c r="AQ17" s="21">
        <f>IF(AP17&gt;0,AP17,MAX(AP12:AP19)+COUNTIF(AP12:AP17,"=0"))</f>
        <v>6</v>
      </c>
      <c r="AR17" s="21" t="str">
        <f>IF(F30&gt;MAX(AP12:AP19),"",DGET(A11:AQ19,"Signatur",F29:F30))</f>
        <v/>
      </c>
      <c r="AS17" s="21">
        <f>IF(F30&gt;MAX(AP12:AP19),0,DGET(A11:AQ19,"Deltager E",F29:F30))</f>
        <v>0</v>
      </c>
      <c r="AT17" s="21">
        <f>IF(F30&gt;MAX(AP12:AP19),0,DGET(A11:AQ19,"2. runde",F29:F30))</f>
        <v>0</v>
      </c>
      <c r="AU17" s="21">
        <f>IF(F30&gt;MAX(AP12:AP19),0,DGET(A11:AQ19,"Kval",F29:F30))</f>
        <v>0</v>
      </c>
      <c r="AV17" s="21">
        <f>IF(F30&gt;MAX(AP12:AP19),0,DGET(A11:AQ19,"Dis E",F29:F30))</f>
        <v>0</v>
      </c>
      <c r="AW17" s="21">
        <f>IF(F30&gt;MAX(AP12:AP19),0,DGET(A11:AQ19,"Udm E",F29:F30))</f>
        <v>0</v>
      </c>
      <c r="AX17" s="21">
        <f>IF(F30&gt;MAX(AP12:AP19),0,DGET(A11:AQ19,"MR E",F29:F30))</f>
        <v>0</v>
      </c>
      <c r="AY17" s="21">
        <f>IF(F30&gt;MAX(AP12:AP19),0,DGET(A11:AQ19,"Res E",F29:F30))</f>
        <v>0</v>
      </c>
    </row>
    <row r="18" spans="1:51" x14ac:dyDescent="0.15">
      <c r="A18" s="21" t="str">
        <f>[1]DB!AS18</f>
        <v/>
      </c>
      <c r="B18" s="21">
        <v>7</v>
      </c>
      <c r="C18" s="21">
        <f>[1]DB!AT18</f>
        <v>0</v>
      </c>
      <c r="D18" s="21">
        <f>[1]DB!AU18</f>
        <v>0</v>
      </c>
      <c r="E18" s="21">
        <f>IF(B6=13,IF(A18&lt;&gt;"",COUNTIF(AB22:AB25,A18)-COUNTIF(Y22:Y25,A18)+D18,0),D18)</f>
        <v>0</v>
      </c>
      <c r="F18" s="21">
        <f>[1]DB!AV18</f>
        <v>0</v>
      </c>
      <c r="G18" s="21">
        <f>IF(B6=13,IF(A18&lt;&gt;"",F18-COUNTIF(AB22:AB25,A18)+COUNTIF(Y22:Y25,A18)-COUNTIF(AG22:AG25,A18)+COUNTIF(AF22:AF25,A18),0),F18)</f>
        <v>0</v>
      </c>
      <c r="H18" s="21">
        <f>[1]DB!AW18</f>
        <v>0</v>
      </c>
      <c r="I18" s="21">
        <f>IF(Rækker!N5="Disket",1,IF(M18&gt;5,1,IF(H18=1,1,0)))</f>
        <v>0</v>
      </c>
      <c r="J18" s="21">
        <f>[1]DB!AX18</f>
        <v>0</v>
      </c>
      <c r="K18" s="21">
        <f>IF(Rækker!N5="Udmeldt",1,IF(J18=1,1,0))</f>
        <v>0</v>
      </c>
      <c r="L18" s="21">
        <f>[1]DB!AY18</f>
        <v>0</v>
      </c>
      <c r="M18" s="21">
        <f>IF(Rækker!N5="MR",L18+1,L18)</f>
        <v>0</v>
      </c>
      <c r="N18" s="21">
        <f>[1]DB!AZ18</f>
        <v>0</v>
      </c>
      <c r="O18" s="21">
        <f>IF(Rækker!N5="Res",N18+1,N18)</f>
        <v>0</v>
      </c>
      <c r="P18" s="21" t="str">
        <f t="shared" si="3"/>
        <v/>
      </c>
      <c r="Q18" s="21" t="str">
        <f>IF('Rækker - Udskrift'!X7=1,1,IF('Rækker - Udskrift'!Y7="X","X",IF('Rækker - Udskrift'!Z7=2,2,"")))</f>
        <v/>
      </c>
      <c r="R18" s="21" t="str">
        <f>IF('Rækker - Udskrift'!X8=1,1,IF('Rækker - Udskrift'!Y8="X","X",IF('Rækker - Udskrift'!Z8=2,2,"")))</f>
        <v/>
      </c>
      <c r="S18" s="21" t="str">
        <f>IF('Rækker - Udskrift'!X9=1,1,IF('Rækker - Udskrift'!Y9="X","X",IF('Rækker - Udskrift'!Z9=2,2,"")))</f>
        <v/>
      </c>
      <c r="T18" s="21" t="str">
        <f>IF('Rækker - Udskrift'!X10=1,1,IF('Rækker - Udskrift'!Y10="X","X",IF('Rækker - Udskrift'!Z10=2,2,"")))</f>
        <v/>
      </c>
      <c r="U18" s="21" t="str">
        <f>IF('Rækker - Udskrift'!X11=1,1,IF('Rækker - Udskrift'!Y11="X","X",IF('Rækker - Udskrift'!Z11=2,2,"")))</f>
        <v/>
      </c>
      <c r="V18" s="21" t="str">
        <f>IF('Rækker - Udskrift'!X12=1,1,IF('Rækker - Udskrift'!Y12="X","X",IF('Rækker - Udskrift'!Z12=2,2,"")))</f>
        <v/>
      </c>
      <c r="W18" s="21" t="str">
        <f>IF('Rækker - Udskrift'!X13=1,1,IF('Rækker - Udskrift'!Y13="X","X",IF('Rækker - Udskrift'!Z13=2,2,"")))</f>
        <v/>
      </c>
      <c r="X18" s="21" t="str">
        <f>IF('Rækker - Udskrift'!X14=1,1,IF('Rækker - Udskrift'!Y14="X","X",IF('Rækker - Udskrift'!Z14=2,2,"")))</f>
        <v/>
      </c>
      <c r="Y18" s="21" t="str">
        <f>IF('Rækker - Udskrift'!X15=1,1,IF('Rækker - Udskrift'!Y15="X","X",IF('Rækker - Udskrift'!Z15=2,2,"")))</f>
        <v/>
      </c>
      <c r="Z18" s="21" t="str">
        <f>IF('Rækker - Udskrift'!X16=1,1,IF('Rækker - Udskrift'!Y16="X","X",IF('Rækker - Udskrift'!Z16=2,2,"")))</f>
        <v/>
      </c>
      <c r="AA18" s="21" t="str">
        <f>IF('Rækker - Udskrift'!X17=1,1,IF('Rækker - Udskrift'!Y17="X","X",IF('Rækker - Udskrift'!Z17=2,2,"")))</f>
        <v/>
      </c>
      <c r="AB18" s="21" t="str">
        <f>IF('Rækker - Udskrift'!X18=1,1,IF('Rækker - Udskrift'!Y18="X","X",IF('Rækker - Udskrift'!Z18=2,2,"")))</f>
        <v/>
      </c>
      <c r="AC18" s="21" t="str">
        <f>IF('Rækker - Udskrift'!X19=1,1,IF('Rækker - Udskrift'!Y19="X","X",IF('Rækker - Udskrift'!Z19=2,2,"")))</f>
        <v/>
      </c>
      <c r="AD18" s="21">
        <f>IF(P18&lt;&gt;"",IF(LEFT(P18,3)="Res",F1,0),IF(Q18=Q10,1,0)+IF(R18=R10,1,0)+IF(S18=S10,1,0)+IF(T18=T10,1,0)+IF(U18=U10,1,0)+IF(V18=V10,1,0)+IF(W18=W10,1,0)+IF(X18=X10,1,0)+IF(Y18=Y10,1,0)+IF(Z18=Z10,1,0)+IF(AA18=AA10,1,0)+IF(AB18=AB10,1,0)+IF(AC18=AC10,1,0))</f>
        <v>0</v>
      </c>
      <c r="AE18" s="21">
        <f>RANK(AD18,AD12:AD19,1)</f>
        <v>1</v>
      </c>
      <c r="AF18" s="21">
        <f t="shared" si="0"/>
        <v>0</v>
      </c>
      <c r="AG18" s="21">
        <f>IF(Q18=Q10,4096,0)+IF(R18=R10,2048,0)+IF(S18=S10,1024,0)+IF(T18=T10,512,0)+IF(U18=U10,256,0)+IF(V18=V10,128,0)+IF(W18=W10,64,0)+IF(X18=X10,32,0)+IF(Y18=Y10,16,0)+IF(Z18=Z10,8,0)+IF(AA18=AA10,4,0)+IF(AB18=AB10,2,0)+IF(AC18=AC10,1,0)</f>
        <v>0</v>
      </c>
      <c r="AH18" s="21">
        <f>RANK(AG18,AG12:AG19,1)</f>
        <v>1</v>
      </c>
      <c r="AI18" s="21">
        <f t="shared" si="4"/>
        <v>66</v>
      </c>
      <c r="AJ18" s="21">
        <f>RANK(AI18,AI12:AI19,1)</f>
        <v>1</v>
      </c>
      <c r="AK18" s="21">
        <f t="shared" si="1"/>
        <v>0</v>
      </c>
      <c r="AL18" s="21">
        <f t="shared" si="2"/>
        <v>0</v>
      </c>
      <c r="AM18" s="21">
        <f t="shared" si="5"/>
        <v>0</v>
      </c>
      <c r="AN18" s="21">
        <f t="shared" si="6"/>
        <v>0</v>
      </c>
      <c r="AO18" s="21">
        <f t="shared" si="7"/>
        <v>0</v>
      </c>
      <c r="AP18" s="21">
        <f>IF(C18&gt;0,IF(AM18&gt;0,COUNTIF(AM12:AM18,"&gt;0"),0),0)</f>
        <v>0</v>
      </c>
      <c r="AQ18" s="21">
        <f>IF(AP18&gt;0,AP18,MAX(AP12:AP19)+COUNTIF(AP12:AP18,"=0"))</f>
        <v>7</v>
      </c>
      <c r="AR18" s="21" t="str">
        <f>IF(G30&gt;MAX(AP12:AP19),"",DGET(A11:AQ19,"Signatur",G29:G30))</f>
        <v/>
      </c>
      <c r="AS18" s="21">
        <f>IF(G30&gt;MAX(AP12:AP19),0,DGET(A11:AQ19,"Deltager E",G29:G30))</f>
        <v>0</v>
      </c>
      <c r="AT18" s="21">
        <f>IF(G30&gt;MAX(AP12:AP19),0,DGET(A11:AQ19,"2. runde",G29:G30))</f>
        <v>0</v>
      </c>
      <c r="AU18" s="21">
        <f>IF(G30&gt;MAX(AP12:AP19),0,DGET(A11:AQ19,"Kval",G29:G30))</f>
        <v>0</v>
      </c>
      <c r="AV18" s="21">
        <f>IF(G30&gt;MAX(AP12:AP19),0,DGET(A11:AQ19,"Dis E",G29:G30))</f>
        <v>0</v>
      </c>
      <c r="AW18" s="21">
        <f>IF(G30&gt;MAX(AP12:AP19),0,DGET(A11:AQ19,"Udm E",G29:G30))</f>
        <v>0</v>
      </c>
      <c r="AX18" s="21">
        <f>IF(G30&gt;MAX(AP12:AP19),0,DGET(A11:AQ19,"MR E",G29:G30))</f>
        <v>0</v>
      </c>
      <c r="AY18" s="21">
        <f>IF(G30&gt;MAX(AP12:AP19),0,DGET(A11:AQ19,"Res E",G29:G30))</f>
        <v>0</v>
      </c>
    </row>
    <row r="19" spans="1:51" x14ac:dyDescent="0.15">
      <c r="A19" s="21" t="str">
        <f>[1]DB!AS19</f>
        <v/>
      </c>
      <c r="B19" s="21">
        <v>8</v>
      </c>
      <c r="C19" s="21">
        <f>[1]DB!AT19</f>
        <v>0</v>
      </c>
      <c r="D19" s="21">
        <f>[1]DB!AU19</f>
        <v>0</v>
      </c>
      <c r="E19" s="21">
        <f>IF(B6=13,IF(A19&lt;&gt;"",COUNTIF(AB22:AB25,A19)-COUNTIF(Y22:Y25,A19)+D19,0),D19)</f>
        <v>0</v>
      </c>
      <c r="F19" s="21">
        <f>[1]DB!AV19</f>
        <v>0</v>
      </c>
      <c r="G19" s="21">
        <f>IF(B6=13,IF(A19&lt;&gt;"",F19-COUNTIF(AB22:AB25,A19)+COUNTIF(Y22:Y25,A19)-COUNTIF(AG22:AG25,A19)+COUNTIF(AF22:AF25,A19),0),F19)</f>
        <v>0</v>
      </c>
      <c r="H19" s="21">
        <f>[1]DB!AW19</f>
        <v>0</v>
      </c>
      <c r="I19" s="21">
        <f>IF(Rækker!P5="Disket",1,IF(M19&gt;5,1,IF(H19=1,1,0)))</f>
        <v>0</v>
      </c>
      <c r="J19" s="21">
        <f>[1]DB!AX19</f>
        <v>0</v>
      </c>
      <c r="K19" s="21">
        <f>IF(Rækker!P5="Udmeldt",1,IF(J19=1,1,0))</f>
        <v>0</v>
      </c>
      <c r="L19" s="21">
        <f>[1]DB!AY19</f>
        <v>0</v>
      </c>
      <c r="M19" s="21">
        <f>IF(Rækker!P5="MR",L19+1,L19)</f>
        <v>0</v>
      </c>
      <c r="N19" s="21">
        <f>[1]DB!AZ19</f>
        <v>0</v>
      </c>
      <c r="O19" s="21">
        <f>IF(Rækker!P5="Res",N19+1,N19)</f>
        <v>0</v>
      </c>
      <c r="P19" s="21" t="str">
        <f t="shared" si="3"/>
        <v/>
      </c>
      <c r="Q19" s="21" t="str">
        <f>IF('Rækker - Udskrift'!AA7=1,1,IF('Rækker - Udskrift'!AB7="X","X",IF('Rækker - Udskrift'!AC7=2,2,"")))</f>
        <v/>
      </c>
      <c r="R19" s="21" t="str">
        <f>IF('Rækker - Udskrift'!AA8=1,1,IF('Rækker - Udskrift'!AB8="X","X",IF('Rækker - Udskrift'!AC8=2,2,"")))</f>
        <v/>
      </c>
      <c r="S19" s="21" t="str">
        <f>IF('Rækker - Udskrift'!AA9=1,1,IF('Rækker - Udskrift'!AB9="X","X",IF('Rækker - Udskrift'!AC9=2,2,"")))</f>
        <v/>
      </c>
      <c r="T19" s="21" t="str">
        <f>IF('Rækker - Udskrift'!AA10=1,1,IF('Rækker - Udskrift'!AB10="X","X",IF('Rækker - Udskrift'!AC10=2,2,"")))</f>
        <v/>
      </c>
      <c r="U19" s="21" t="str">
        <f>IF('Rækker - Udskrift'!AA11=1,1,IF('Rækker - Udskrift'!AB11="X","X",IF('Rækker - Udskrift'!AC11=2,2,"")))</f>
        <v/>
      </c>
      <c r="V19" s="21" t="str">
        <f>IF('Rækker - Udskrift'!AA12=1,1,IF('Rækker - Udskrift'!AB12="X","X",IF('Rækker - Udskrift'!AC12=2,2,"")))</f>
        <v/>
      </c>
      <c r="W19" s="21" t="str">
        <f>IF('Rækker - Udskrift'!AA13=1,1,IF('Rækker - Udskrift'!AB13="X","X",IF('Rækker - Udskrift'!AC13=2,2,"")))</f>
        <v/>
      </c>
      <c r="X19" s="21" t="str">
        <f>IF('Rækker - Udskrift'!AA14=1,1,IF('Rækker - Udskrift'!AB14="X","X",IF('Rækker - Udskrift'!AC14=2,2,"")))</f>
        <v/>
      </c>
      <c r="Y19" s="21" t="str">
        <f>IF('Rækker - Udskrift'!AA15=1,1,IF('Rækker - Udskrift'!AB15="X","X",IF('Rækker - Udskrift'!AC15=2,2,"")))</f>
        <v/>
      </c>
      <c r="Z19" s="21" t="str">
        <f>IF('Rækker - Udskrift'!AA16=1,1,IF('Rækker - Udskrift'!AB16="X","X",IF('Rækker - Udskrift'!AC16=2,2,"")))</f>
        <v/>
      </c>
      <c r="AA19" s="21" t="str">
        <f>IF('Rækker - Udskrift'!AA17=1,1,IF('Rækker - Udskrift'!AB17="X","X",IF('Rækker - Udskrift'!AC17=2,2,"")))</f>
        <v/>
      </c>
      <c r="AB19" s="21" t="str">
        <f>IF('Rækker - Udskrift'!AA18=1,1,IF('Rækker - Udskrift'!AB18="X","X",IF('Rækker - Udskrift'!AC18=2,2,"")))</f>
        <v/>
      </c>
      <c r="AC19" s="21" t="str">
        <f>IF('Rækker - Udskrift'!AA19=1,1,IF('Rækker - Udskrift'!AB19="X","X",IF('Rækker - Udskrift'!AC19=2,2,"")))</f>
        <v/>
      </c>
      <c r="AD19" s="21">
        <f>IF(P19&lt;&gt;"",IF(LEFT(P19,3)="Res",F1,0),IF(Q19=Q10,1,0)+IF(R19=R10,1,0)+IF(S19=S10,1,0)+IF(T19=T10,1,0)+IF(U19=U10,1,0)+IF(V19=V10,1,0)+IF(W19=W10,1,0)+IF(X19=X10,1,0)+IF(Y19=Y10,1,0)+IF(Z19=Z10,1,0)+IF(AA19=AA10,1,0)+IF(AB19=AB10,1,0)+IF(AC19=AC10,1,0))</f>
        <v>0</v>
      </c>
      <c r="AE19" s="21">
        <f>RANK(AD19,AD12:AD19,1)</f>
        <v>1</v>
      </c>
      <c r="AF19" s="21">
        <f t="shared" si="0"/>
        <v>0</v>
      </c>
      <c r="AG19" s="21">
        <f>IF(Q19=Q10,4096,0)+IF(R19=R10,2048,0)+IF(S19=S10,1024,0)+IF(T19=T10,512,0)+IF(U19=U10,256,0)+IF(V19=V10,128,0)+IF(W19=W10,64,0)+IF(X19=X10,32,0)+IF(Y19=Y10,16,0)+IF(Z19=Z10,8,0)+IF(AA19=AA10,4,0)+IF(AB19=AB10,2,0)+IF(AC19=AC10,1,0)</f>
        <v>0</v>
      </c>
      <c r="AH19" s="21">
        <f>RANK(AG19,AG12:AG19,1)</f>
        <v>1</v>
      </c>
      <c r="AI19" s="21">
        <f t="shared" si="4"/>
        <v>66</v>
      </c>
      <c r="AJ19" s="21">
        <f>RANK(AI19,AI12:AI19,1)</f>
        <v>1</v>
      </c>
      <c r="AK19" s="21">
        <f t="shared" si="1"/>
        <v>0</v>
      </c>
      <c r="AL19" s="21">
        <f t="shared" si="2"/>
        <v>0</v>
      </c>
      <c r="AM19" s="21">
        <f t="shared" si="5"/>
        <v>0</v>
      </c>
      <c r="AN19" s="21">
        <f t="shared" si="6"/>
        <v>0</v>
      </c>
      <c r="AO19" s="21">
        <f t="shared" si="7"/>
        <v>0</v>
      </c>
      <c r="AP19" s="21">
        <f>IF(C19&gt;0,IF(AM19&gt;0,COUNTIF(AM12:AM19,"&gt;0"),0),0)</f>
        <v>0</v>
      </c>
      <c r="AQ19" s="21">
        <f>IF(AP19&gt;0,AP19,MAX(AP12:AP19)+COUNTIF(AP12:AP19,"=0"))</f>
        <v>8</v>
      </c>
      <c r="AR19" s="21" t="str">
        <f>IF(H30&gt;MAX(AP12:AP19),"",DGET(A11:AQ19,"Signatur",H29:H30))</f>
        <v/>
      </c>
      <c r="AS19" s="21">
        <f>IF(H30&gt;MAX(AP12:AP19),0,DGET(A11:AQ19,"Deltager E",H29:H30))</f>
        <v>0</v>
      </c>
      <c r="AT19" s="21">
        <f>IF(H30&gt;MAX(AP12:AP19),0,DGET(A11:AQ19,"2. runde",H29:H30))</f>
        <v>0</v>
      </c>
      <c r="AU19" s="21">
        <f>IF(H30&gt;MAX(AP12:AP19),0,DGET(A11:AQ19,"Kval",H29:H30))</f>
        <v>0</v>
      </c>
      <c r="AV19" s="21">
        <f>IF(H30&gt;MAX(AP12:AP19),0,DGET(A11:AQ19,"Dis E",H29:H30))</f>
        <v>0</v>
      </c>
      <c r="AW19" s="21">
        <f>IF(H30&gt;MAX(AP12:AP19),0,DGET(A11:AQ19,"Udm E",H29:H30))</f>
        <v>0</v>
      </c>
      <c r="AX19" s="21">
        <f>IF(H30&gt;MAX(AP12:AP19),0,DGET(A11:AQ19,"MR E",H29:H30))</f>
        <v>0</v>
      </c>
      <c r="AY19" s="21">
        <f>IF(H30&gt;MAX(AP12:AP19),0,DGET(A11:AQ19,"Res E",H29:H30))</f>
        <v>0</v>
      </c>
    </row>
    <row r="21" spans="1:51" x14ac:dyDescent="0.15">
      <c r="A21" s="21" t="s">
        <v>75</v>
      </c>
      <c r="B21" s="21" t="s">
        <v>76</v>
      </c>
      <c r="C21" s="21" t="s">
        <v>77</v>
      </c>
      <c r="D21" s="21" t="s">
        <v>78</v>
      </c>
      <c r="E21" s="21" t="s">
        <v>79</v>
      </c>
      <c r="F21" s="21" t="s">
        <v>80</v>
      </c>
      <c r="G21" s="21" t="s">
        <v>99</v>
      </c>
      <c r="H21" s="21" t="s">
        <v>100</v>
      </c>
      <c r="I21" s="21" t="s">
        <v>101</v>
      </c>
      <c r="J21" s="21" t="s">
        <v>102</v>
      </c>
      <c r="K21" s="21" t="s">
        <v>89</v>
      </c>
      <c r="L21" s="21" t="s">
        <v>90</v>
      </c>
      <c r="M21" s="21" t="s">
        <v>91</v>
      </c>
      <c r="N21" s="21" t="s">
        <v>92</v>
      </c>
      <c r="O21" s="21" t="s">
        <v>82</v>
      </c>
      <c r="P21" s="21" t="s">
        <v>98</v>
      </c>
      <c r="Q21" s="21" t="s">
        <v>83</v>
      </c>
      <c r="R21" s="21" t="s">
        <v>96</v>
      </c>
      <c r="S21" s="21" t="s">
        <v>93</v>
      </c>
      <c r="T21" s="21" t="s">
        <v>94</v>
      </c>
      <c r="U21" s="21" t="s">
        <v>95</v>
      </c>
      <c r="V21" s="21" t="s">
        <v>84</v>
      </c>
      <c r="W21" s="21" t="s">
        <v>97</v>
      </c>
      <c r="X21" s="21" t="s">
        <v>85</v>
      </c>
      <c r="Y21" s="21" t="s">
        <v>105</v>
      </c>
      <c r="Z21" s="21" t="s">
        <v>103</v>
      </c>
      <c r="AA21" s="21" t="s">
        <v>104</v>
      </c>
      <c r="AB21" s="21" t="s">
        <v>86</v>
      </c>
      <c r="AC21" s="21" t="s">
        <v>87</v>
      </c>
      <c r="AD21" s="21" t="s">
        <v>88</v>
      </c>
      <c r="AF21" s="21" t="s">
        <v>107</v>
      </c>
      <c r="AG21" s="21" t="s">
        <v>106</v>
      </c>
    </row>
    <row r="22" spans="1:51" x14ac:dyDescent="0.15">
      <c r="A22" s="21" t="str">
        <f>[1]DB!A22</f>
        <v>Idskov</v>
      </c>
      <c r="B22" s="21" t="str">
        <f>[1]DB!B22</f>
        <v>Idskov (1)</v>
      </c>
      <c r="C22" s="21">
        <f>[1]DB!C22</f>
        <v>85</v>
      </c>
      <c r="D22" s="21" t="str">
        <f>[1]DB!D22</f>
        <v>Benbo</v>
      </c>
      <c r="E22" s="21" t="str">
        <f>[1]DB!E22</f>
        <v>Benbo (8)</v>
      </c>
      <c r="F22" s="21">
        <f>[1]DB!F22</f>
        <v>96</v>
      </c>
      <c r="G22" s="21">
        <f>[1]DB!L22</f>
        <v>8</v>
      </c>
      <c r="H22" s="21">
        <f>[1]DB!M22</f>
        <v>6</v>
      </c>
      <c r="I22" s="21">
        <f>[1]DB!S22</f>
        <v>9</v>
      </c>
      <c r="J22" s="21">
        <f>[1]DB!T22</f>
        <v>7</v>
      </c>
      <c r="K22" s="21">
        <f>IF(A22&lt;&gt;"",IF(Y22&lt;&gt;"",0,DGET(A11:AJ19,"Dis E",A31:A32)),0)</f>
        <v>0</v>
      </c>
      <c r="L22" s="21">
        <f>IF(A22&lt;&gt;"",IF(Y22&lt;&gt;"",0,DGET(A11:AJ19,"Udm E",A31:A32)),0)</f>
        <v>0</v>
      </c>
      <c r="M22" s="21">
        <f>IF(A22&lt;&gt;"",IF(Y22&lt;&gt;"",0,DGET(A11:AJ19,"MR E",A31:A32)),0)</f>
        <v>0</v>
      </c>
      <c r="N22" s="21">
        <f>IF(A22&lt;&gt;"",IF(Y22&lt;&gt;"",0,DGET(A11:AJ19,"Res E",A31:A32)),0)</f>
        <v>1</v>
      </c>
      <c r="O22" s="21">
        <f>IF(A22&lt;&gt;"",IF(Y22&lt;&gt;"",0,DGET(A11:AJ19,"ES N",A31:A32)),0)</f>
        <v>4</v>
      </c>
      <c r="P22" s="21">
        <f>IF(B6=13,IF(Y22&lt;&gt;"","",IF(B4=B2,IF(AND(K22=0,L22=0,R22=0,S22=0),O22,""),"")),"")</f>
        <v>4</v>
      </c>
      <c r="Q22" s="21">
        <f>IF(A22&lt;&gt;"",IF(Y22&lt;&gt;"",0,DGET(A11:AJ19,"BU Pl.",A31:A32)),0)</f>
        <v>5</v>
      </c>
      <c r="R22" s="21">
        <f>IF(A22&lt;&gt;"",IF(Y22&lt;&gt;"",0,DGET(A11:AJ19,"Dis E",E31:E32)),0)</f>
        <v>0</v>
      </c>
      <c r="S22" s="21">
        <f>IF(A22&lt;&gt;"",IF(Y22&lt;&gt;"",0,DGET(A11:AJ19,"Udm E",E31:E32)),0)</f>
        <v>0</v>
      </c>
      <c r="T22" s="21">
        <f>IF(A22&lt;&gt;"",IF(Y22&lt;&gt;"",0,DGET(A11:AJ19,"MR E",E31:E32)),0)</f>
        <v>0</v>
      </c>
      <c r="U22" s="21">
        <f>IF(A22&lt;&gt;"",IF(Y22&lt;&gt;"",0,DGET(A11:AJ19,"Res E",E31:E32)),0)</f>
        <v>1</v>
      </c>
      <c r="V22" s="21">
        <f>IF(A22&lt;&gt;"",IF(Y22&lt;&gt;"",0,DGET(A11:AJ19,"ES N",E31:E32)),0)</f>
        <v>4</v>
      </c>
      <c r="W22" s="21">
        <f>IF(B6=13,IF(Y22&lt;&gt;"","",IF(B4=B2,IF(AND(R22=0,S22=0,BB22=0,BC22=0),V22,""),"")),"")</f>
        <v>4</v>
      </c>
      <c r="X22" s="21">
        <f>IF(A22&lt;&gt;"",IF(Y22&lt;&gt;"",0,DGET(A11:AJ19,"BU Pl.",E31:E32)),0)</f>
        <v>6</v>
      </c>
      <c r="Y22" s="21" t="str">
        <f>[1]DB!U22</f>
        <v/>
      </c>
      <c r="Z22" s="21" t="str">
        <f>[1]DB!V22</f>
        <v/>
      </c>
      <c r="AA22" s="21" t="str">
        <f>[1]DB!W22</f>
        <v/>
      </c>
      <c r="AB22" s="21" t="str">
        <f>IF(Y22&lt;&gt;"",Y22,IF(B6=13,IF(B4=B2,IF(OR(R22=1,S22=1),A22,IF(AND(OR(K22=1,L22=1),AND(R22=0,S22=0)),D22,IF(G22+P22&gt;I22+W22,A22,IF(G22+P22&lt;I22+W22,D22,"")))),""),Y22))</f>
        <v>Benbo</v>
      </c>
      <c r="AC22" s="21" t="str">
        <f>IF(Z22&lt;&gt;"",Z22,IF(B6=13,IF(B4=B2,IF(OR(R22=1,S22=1),B22,IF(AND(OR(K22=1,L22=1),AND(R22=0,S22=0)),E22,IF(G22+P22&gt;I22+W22,B22,IF(G22+P22&lt;I22+W22,E22,"")))),""),Z22))</f>
        <v>Benbo (8)</v>
      </c>
      <c r="AD22" s="21">
        <f>IF(AA22&lt;&gt;"",AA22,IF(B6=13,IF(B4=B2,IF(OR(R22=1,S22=1),C22,IF(AND(OR(K22=1,L22=1),AND(R22=0,S22=0)),F22,IF(G22+P22&gt;I22+W22,C22,IF(G22+P22&lt;I22+W22,F22,"")))),""),AA22))</f>
        <v>96</v>
      </c>
      <c r="AF22" s="21" t="str">
        <f>[1]DB!Y22</f>
        <v/>
      </c>
      <c r="AG22" s="21" t="str">
        <f>IF(AB22=A22,D22,IF(AB22=D22,A22,""))</f>
        <v>Idskov</v>
      </c>
    </row>
    <row r="23" spans="1:51" x14ac:dyDescent="0.15">
      <c r="A23" s="21" t="str">
        <f>[1]DB!A23</f>
        <v>Frydkær</v>
      </c>
      <c r="B23" s="21" t="str">
        <f>[1]DB!B23</f>
        <v>Frydkær (11)</v>
      </c>
      <c r="C23" s="21">
        <f>[1]DB!C23</f>
        <v>91</v>
      </c>
      <c r="D23" s="21" t="str">
        <f>[1]DB!D23</f>
        <v>Benbo</v>
      </c>
      <c r="E23" s="21" t="str">
        <f>[1]DB!E23</f>
        <v>Benbo (16)</v>
      </c>
      <c r="F23" s="21">
        <f>[1]DB!F23</f>
        <v>95</v>
      </c>
      <c r="G23" s="21">
        <f>[1]DB!L23</f>
        <v>9</v>
      </c>
      <c r="H23" s="21">
        <f>[1]DB!M23</f>
        <v>7</v>
      </c>
      <c r="I23" s="21">
        <f>[1]DB!S23</f>
        <v>9</v>
      </c>
      <c r="J23" s="21">
        <f>[1]DB!T23</f>
        <v>7</v>
      </c>
      <c r="K23" s="21">
        <f>IF(A23&lt;&gt;"",IF(Y23&lt;&gt;"",0,DGET(A11:AJ19,"Dis E",B31:B32)),0)</f>
        <v>0</v>
      </c>
      <c r="L23" s="21">
        <f>IF(A23&lt;&gt;"",IF(Y23&lt;&gt;"",0,DGET(A11:AJ19,"Udm E",B31:B32)),0)</f>
        <v>0</v>
      </c>
      <c r="M23" s="21">
        <f>IF(A23&lt;&gt;"",IF(Y23&lt;&gt;"",0,DGET(A11:AJ19,"MR E",B31:B32)),0)</f>
        <v>0</v>
      </c>
      <c r="N23" s="21">
        <f>IF(A23&lt;&gt;"",IF(Y23&lt;&gt;"",0,DGET(A11:AJ19,"Res E",B31:B32)),0)</f>
        <v>1</v>
      </c>
      <c r="O23" s="21">
        <f>IF(A23&lt;&gt;"",IF(Y23&lt;&gt;"",0,DGET(A11:AJ19,"ES N",B31:B32)),0)</f>
        <v>3</v>
      </c>
      <c r="P23" s="21">
        <f>IF(B6=13,IF(Y23&lt;&gt;"","",IF(B4=B2,IF(AND(K23=0,L23=0,R23=0,S23=0),O23,""),"")),"")</f>
        <v>3</v>
      </c>
      <c r="Q23" s="21">
        <f>IF(A23&lt;&gt;"",IF(Y23&lt;&gt;"",0,DGET(A11:AJ19,"BU Pl.",B31:B32)),0)</f>
        <v>4</v>
      </c>
      <c r="R23" s="21">
        <f>IF(A23&lt;&gt;"",IF(Y23&lt;&gt;"",0,DGET(A11:AJ19,"Dis E",F31:F32)),0)</f>
        <v>0</v>
      </c>
      <c r="S23" s="21">
        <f>IF(A23&lt;&gt;"",IF(Y23&lt;&gt;"",0,DGET(A11:AJ19,"Udm E",F31:F32)),0)</f>
        <v>0</v>
      </c>
      <c r="T23" s="21">
        <f>IF(A23&lt;&gt;"",IF(Y23&lt;&gt;"",0,DGET(A11:AJ19,"MR E",F31:F32)),0)</f>
        <v>0</v>
      </c>
      <c r="U23" s="21">
        <f>IF(A23&lt;&gt;"",IF(Y23&lt;&gt;"",0,DGET(A11:AJ19,"Res E",F31:F32)),0)</f>
        <v>1</v>
      </c>
      <c r="V23" s="21">
        <f>IF(A23&lt;&gt;"",IF(Y23&lt;&gt;"",0,DGET(A11:AJ19,"ES N",F31:F32)),0)</f>
        <v>4</v>
      </c>
      <c r="W23" s="21">
        <f>IF(B6=13,IF(Y23&lt;&gt;"","",IF(B4=B2,IF(AND(R23=0,S23=0,BB23=0,BC23=0),V23,""),"")),"")</f>
        <v>4</v>
      </c>
      <c r="X23" s="21">
        <f>IF(A23&lt;&gt;"",IF(Y23&lt;&gt;"",0,DGET(A11:AJ19,"BU Pl.",F31:F32)),0)</f>
        <v>6</v>
      </c>
      <c r="Y23" s="21" t="str">
        <f>[1]DB!U23</f>
        <v/>
      </c>
      <c r="Z23" s="21" t="str">
        <f>[1]DB!V23</f>
        <v/>
      </c>
      <c r="AA23" s="21" t="str">
        <f>[1]DB!W23</f>
        <v/>
      </c>
      <c r="AB23" s="21" t="str">
        <f>IF(Y23&lt;&gt;"",Y23,IF(B6=13,IF(B4=B2,IF(OR(R23=1,S23=1),A23,IF(AND(OR(K23=1,L23=1),AND(R23=0,S23=0)),D23,IF(G23+P23&gt;I23+W23,A23,IF(G23+P23&lt;I23+W23,D23,"")))),""),Y23))</f>
        <v>Benbo</v>
      </c>
      <c r="AC23" s="21" t="str">
        <f>IF(Z23&lt;&gt;"",Z23,IF(B6=13,IF(B4=B2,IF(OR(R23=1,S23=1),B23,IF(AND(OR(K23=1,L23=1),AND(R23=0,S23=0)),E23,IF(G23+P23&gt;I23+W23,B23,IF(G23+P23&lt;I23+W23,E23,"")))),""),Z23))</f>
        <v>Benbo (16)</v>
      </c>
      <c r="AD23" s="21">
        <f>IF(AA23&lt;&gt;"",AA23,IF(B6=13,IF(B4=B2,IF(OR(R23=1,S23=1),C23,IF(AND(OR(K23=1,L23=1),AND(R23=0,S23=0)),F23,IF(G23+P23&gt;I23+W23,C23,IF(G23+P23&lt;I23+W23,F23,"")))),""),AA23))</f>
        <v>95</v>
      </c>
      <c r="AF23" s="21" t="str">
        <f>[1]DB!Y23</f>
        <v/>
      </c>
      <c r="AG23" s="21" t="str">
        <f>IF(AB23=A23,D23,IF(AB23=D23,A23,""))</f>
        <v>Frydkær</v>
      </c>
    </row>
    <row r="24" spans="1:51" x14ac:dyDescent="0.15">
      <c r="A24" s="21" t="str">
        <f>[1]DB!A24</f>
        <v>LPHJ</v>
      </c>
      <c r="B24" s="21" t="str">
        <f>[1]DB!B24</f>
        <v>LPHJ (4)</v>
      </c>
      <c r="C24" s="21">
        <f>[1]DB!C24</f>
        <v>56</v>
      </c>
      <c r="D24" s="21" t="str">
        <f>[1]DB!D24</f>
        <v>LPHJ</v>
      </c>
      <c r="E24" s="21" t="str">
        <f>[1]DB!E24</f>
        <v>LPHJ (6)</v>
      </c>
      <c r="F24" s="21">
        <f>[1]DB!F24</f>
        <v>50</v>
      </c>
      <c r="G24" s="21" t="str">
        <f>[1]DB!L24</f>
        <v/>
      </c>
      <c r="H24" s="21">
        <f>[1]DB!M24</f>
        <v>4</v>
      </c>
      <c r="I24" s="21" t="str">
        <f>[1]DB!S24</f>
        <v/>
      </c>
      <c r="J24" s="21">
        <f>[1]DB!T24</f>
        <v>4</v>
      </c>
      <c r="K24" s="21">
        <f>IF(A24&lt;&gt;"",IF(Y24&lt;&gt;"",0,DGET(A11:AJ19,"Dis E",C31:C32)),0)</f>
        <v>0</v>
      </c>
      <c r="L24" s="21">
        <f>IF(A24&lt;&gt;"",IF(Y24&lt;&gt;"",0,DGET(A11:AJ19,"Udm E",C31:C32)),0)</f>
        <v>0</v>
      </c>
      <c r="M24" s="21">
        <f>IF(A24&lt;&gt;"",IF(Y24&lt;&gt;"",0,DGET(A11:AJ19,"MR E",C31:C32)),0)</f>
        <v>0</v>
      </c>
      <c r="N24" s="21">
        <f>IF(A24&lt;&gt;"",IF(Y24&lt;&gt;"",0,DGET(A11:AJ19,"Res E",C31:C32)),0)</f>
        <v>0</v>
      </c>
      <c r="O24" s="21">
        <f>IF(A24&lt;&gt;"",IF(Y24&lt;&gt;"",0,DGET(A11:AJ19,"ES N",C31:C32)),0)</f>
        <v>0</v>
      </c>
      <c r="P24" s="21" t="str">
        <f>IF(B6=13,IF(Y24&lt;&gt;"","",IF(B4=B2,IF(AND(K24=0,L24=0,R24=0,S24=0),O24,""),"")),"")</f>
        <v/>
      </c>
      <c r="Q24" s="21">
        <f>IF(A24&lt;&gt;"",IF(Y24&lt;&gt;"",0,DGET(A11:AJ19,"BU Pl.",C31:C32)),0)</f>
        <v>0</v>
      </c>
      <c r="R24" s="21">
        <f>IF(A24&lt;&gt;"",IF(Y24&lt;&gt;"",0,DGET(A11:AJ19,"Dis E",G31:G32)),0)</f>
        <v>0</v>
      </c>
      <c r="S24" s="21">
        <f>IF(A24&lt;&gt;"",IF(Y24&lt;&gt;"",0,DGET(A11:AJ19,"Udm E",G31:G32)),0)</f>
        <v>0</v>
      </c>
      <c r="T24" s="21">
        <f>IF(A24&lt;&gt;"",IF(Y24&lt;&gt;"",0,DGET(A11:AJ19,"MR E",G31:G32)),0)</f>
        <v>0</v>
      </c>
      <c r="U24" s="21">
        <f>IF(A24&lt;&gt;"",IF(Y24&lt;&gt;"",0,DGET(A11:AJ19,"Res E",G31:G32)),0)</f>
        <v>0</v>
      </c>
      <c r="V24" s="21">
        <f>IF(A24&lt;&gt;"",IF(Y24&lt;&gt;"",0,DGET(A11:AJ19,"ES N",G31:G32)),0)</f>
        <v>0</v>
      </c>
      <c r="W24" s="21" t="str">
        <f>IF(B6=13,IF(Y24&lt;&gt;"","",IF(B4=B2,IF(AND(R24=0,S24=0,BB24=0,BC24=0),V24,""),"")),"")</f>
        <v/>
      </c>
      <c r="X24" s="21">
        <f>IF(A24&lt;&gt;"",IF(Y24&lt;&gt;"",0,DGET(A11:AJ19,"BU Pl.",G31:G32)),0)</f>
        <v>0</v>
      </c>
      <c r="Y24" s="21" t="str">
        <f>[1]DB!U24</f>
        <v>LPHJ</v>
      </c>
      <c r="Z24" s="21" t="str">
        <f>[1]DB!V24</f>
        <v>LPHJ (4)</v>
      </c>
      <c r="AA24" s="21">
        <f>[1]DB!W24</f>
        <v>56</v>
      </c>
      <c r="AB24" s="21" t="str">
        <f>IF(Y24&lt;&gt;"",Y24,IF(B6=13,IF(B4=B2,IF(OR(R24=1,S24=1),A24,IF(AND(OR(K24=1,L24=1),AND(R24=0,S24=0)),D24,IF(G24+P24&gt;I24+W24,A24,IF(G24+P24&lt;I24+W24,D24,"")))),""),Y24))</f>
        <v>LPHJ</v>
      </c>
      <c r="AC24" s="21" t="str">
        <f>IF(Z24&lt;&gt;"",Z24,IF(B6=13,IF(B4=B2,IF(OR(R24=1,S24=1),B24,IF(AND(OR(K24=1,L24=1),AND(R24=0,S24=0)),E24,IF(G24+P24&gt;I24+W24,B24,IF(G24+P24&lt;I24+W24,E24,"")))),""),Z24))</f>
        <v>LPHJ (4)</v>
      </c>
      <c r="AD24" s="21">
        <f>IF(AA24&lt;&gt;"",AA24,IF(B6=13,IF(B4=B2,IF(OR(R24=1,S24=1),C24,IF(AND(OR(K24=1,L24=1),AND(R24=0,S24=0)),F24,IF(G24+P24&gt;I24+W24,C24,IF(G24+P24&lt;I24+W24,F24,"")))),""),AA24))</f>
        <v>56</v>
      </c>
      <c r="AF24" s="21" t="str">
        <f>[1]DB!Y24</f>
        <v>LPHJ</v>
      </c>
      <c r="AG24" s="21" t="str">
        <f>IF(AB24=A24,D24,IF(AB24=D24,A24,""))</f>
        <v>LPHJ</v>
      </c>
    </row>
    <row r="25" spans="1:51" x14ac:dyDescent="0.15">
      <c r="A25" s="21" t="str">
        <f>[1]DB!A25</f>
        <v>LPHJ</v>
      </c>
      <c r="B25" s="21" t="str">
        <f>[1]DB!B25</f>
        <v>LPHJ (10)</v>
      </c>
      <c r="C25" s="21">
        <f>[1]DB!C25</f>
        <v>56</v>
      </c>
      <c r="D25" s="21" t="str">
        <f>[1]DB!D25</f>
        <v>Robbo</v>
      </c>
      <c r="E25" s="21" t="str">
        <f>[1]DB!E25</f>
        <v>Robbo (2)</v>
      </c>
      <c r="F25" s="21">
        <f>[1]DB!F25</f>
        <v>51</v>
      </c>
      <c r="G25" s="21">
        <f>[1]DB!L25</f>
        <v>8</v>
      </c>
      <c r="H25" s="21">
        <f>[1]DB!M25</f>
        <v>4</v>
      </c>
      <c r="I25" s="21">
        <f>[1]DB!S25</f>
        <v>8</v>
      </c>
      <c r="J25" s="21">
        <f>[1]DB!T25</f>
        <v>4</v>
      </c>
      <c r="K25" s="21">
        <f>IF(A25&lt;&gt;"",IF(Y25&lt;&gt;"",0,DGET(A11:AJ19,"Dis E",D31:D32)),0)</f>
        <v>0</v>
      </c>
      <c r="L25" s="21">
        <f>IF(A25&lt;&gt;"",IF(Y25&lt;&gt;"",0,DGET(A11:AJ19,"Udm E",D31:D32)),0)</f>
        <v>0</v>
      </c>
      <c r="M25" s="21">
        <f>IF(A25&lt;&gt;"",IF(Y25&lt;&gt;"",0,DGET(A11:AJ19,"MR E",D31:D32)),0)</f>
        <v>0</v>
      </c>
      <c r="N25" s="21">
        <f>IF(A25&lt;&gt;"",IF(Y25&lt;&gt;"",0,DGET(A11:AJ19,"Res E",D31:D32)),0)</f>
        <v>0</v>
      </c>
      <c r="O25" s="21">
        <f>IF(A25&lt;&gt;"",IF(Y25&lt;&gt;"",0,DGET(A11:AJ19,"ES N",D31:D32)),0)</f>
        <v>5</v>
      </c>
      <c r="P25" s="21">
        <f>IF(B6=13,IF(Y25&lt;&gt;"","",IF(B4=B2,IF(AND(K25=0,L25=0,R25=0,S25=0),O25,""),"")),"")</f>
        <v>5</v>
      </c>
      <c r="Q25" s="21">
        <f>IF(A25&lt;&gt;"",IF(Y25&lt;&gt;"",0,DGET(A11:AJ19,"BU Pl.",D31:D32)),0)</f>
        <v>7</v>
      </c>
      <c r="R25" s="21">
        <f>IF(A25&lt;&gt;"",IF(Y25&lt;&gt;"",0,DGET(A11:AJ19,"Dis E",H31:H32)),0)</f>
        <v>0</v>
      </c>
      <c r="S25" s="21">
        <f>IF(A25&lt;&gt;"",IF(Y25&lt;&gt;"",0,DGET(A11:AJ19,"Udm E",H31:H32)),0)</f>
        <v>0</v>
      </c>
      <c r="T25" s="21">
        <f>IF(A25&lt;&gt;"",IF(Y25&lt;&gt;"",0,DGET(A11:AJ19,"MR E",H31:H32)),0)</f>
        <v>0</v>
      </c>
      <c r="U25" s="21">
        <f>IF(A25&lt;&gt;"",IF(Y25&lt;&gt;"",0,DGET(A11:AJ19,"Res E",H31:H32)),0)</f>
        <v>0</v>
      </c>
      <c r="V25" s="21">
        <f>IF(A25&lt;&gt;"",IF(Y25&lt;&gt;"",0,DGET(A11:AJ19,"ES N",H31:H32)),0)</f>
        <v>5</v>
      </c>
      <c r="W25" s="21">
        <f>IF(B6=13,IF(Y25&lt;&gt;"","",IF(B4=B2,IF(AND(R25=0,S25=0,BB25=0,BC25=0),V25,""),"")),"")</f>
        <v>5</v>
      </c>
      <c r="X25" s="21">
        <f>IF(A25&lt;&gt;"",IF(Y25&lt;&gt;"",0,DGET(A11:AJ19,"BU Pl.",H31:H32)),0)</f>
        <v>7</v>
      </c>
      <c r="Y25" s="21" t="str">
        <f>[1]DB!U25</f>
        <v/>
      </c>
      <c r="Z25" s="21" t="str">
        <f>[1]DB!V25</f>
        <v/>
      </c>
      <c r="AA25" s="21" t="str">
        <f>[1]DB!W25</f>
        <v/>
      </c>
      <c r="AB25" s="21" t="str">
        <f>IF(Y25&lt;&gt;"",Y25,IF(B6=13,IF(B4=B2,IF(OR(R25=1,S25=1),A25,IF(AND(OR(K25=1,L25=1),AND(R25=0,S25=0)),D25,IF(G25+P25&gt;I25+W25,A25,IF(G25+P25&lt;I25+W25,D25,"")))),""),Y25))</f>
        <v/>
      </c>
      <c r="AC25" s="21" t="str">
        <f>IF(Z25&lt;&gt;"",Z25,IF(B6=13,IF(B4=B2,IF(OR(R25=1,S25=1),B25,IF(AND(OR(K25=1,L25=1),AND(R25=0,S25=0)),E25,IF(G25+P25&gt;I25+W25,B25,IF(G25+P25&lt;I25+W25,E25,"")))),""),Z25))</f>
        <v/>
      </c>
      <c r="AD25" s="21" t="str">
        <f>IF(AA25&lt;&gt;"",AA25,IF(B6=13,IF(B4=B2,IF(OR(R25=1,S25=1),C25,IF(AND(OR(K25=1,L25=1),AND(R25=0,S25=0)),F25,IF(G25+P25&gt;I25+W25,C25,IF(G25+P25&lt;I25+W25,F25,"")))),""),AA25))</f>
        <v/>
      </c>
      <c r="AF25" s="21" t="str">
        <f>[1]DB!Y25</f>
        <v/>
      </c>
      <c r="AG25" s="21" t="str">
        <f>IF(AB25=A25,D25,IF(AB25=D25,A25,""))</f>
        <v/>
      </c>
    </row>
    <row r="27" spans="1:51" x14ac:dyDescent="0.15">
      <c r="A27" s="21" t="s">
        <v>25</v>
      </c>
      <c r="B27" s="21" t="s">
        <v>25</v>
      </c>
      <c r="C27" s="21" t="s">
        <v>25</v>
      </c>
      <c r="D27" s="21" t="s">
        <v>25</v>
      </c>
      <c r="E27" s="21" t="s">
        <v>25</v>
      </c>
      <c r="F27" s="21" t="s">
        <v>25</v>
      </c>
      <c r="G27" s="21" t="s">
        <v>25</v>
      </c>
      <c r="H27" s="21" t="s">
        <v>25</v>
      </c>
    </row>
    <row r="28" spans="1:51" x14ac:dyDescent="0.15">
      <c r="A28" s="21">
        <v>1</v>
      </c>
      <c r="B28" s="21">
        <v>2</v>
      </c>
      <c r="C28" s="21">
        <v>3</v>
      </c>
      <c r="D28" s="21">
        <v>4</v>
      </c>
      <c r="E28" s="21">
        <v>5</v>
      </c>
      <c r="F28" s="21">
        <v>6</v>
      </c>
      <c r="G28" s="21">
        <v>7</v>
      </c>
      <c r="H28" s="21">
        <v>8</v>
      </c>
    </row>
    <row r="29" spans="1:51" x14ac:dyDescent="0.15">
      <c r="A29" s="21" t="s">
        <v>69</v>
      </c>
      <c r="B29" s="21" t="s">
        <v>69</v>
      </c>
      <c r="C29" s="21" t="s">
        <v>69</v>
      </c>
      <c r="D29" s="21" t="s">
        <v>69</v>
      </c>
      <c r="E29" s="21" t="s">
        <v>69</v>
      </c>
      <c r="F29" s="21" t="s">
        <v>69</v>
      </c>
      <c r="G29" s="21" t="s">
        <v>69</v>
      </c>
      <c r="H29" s="21" t="s">
        <v>69</v>
      </c>
    </row>
    <row r="30" spans="1:51" x14ac:dyDescent="0.15">
      <c r="A30" s="21">
        <v>1</v>
      </c>
      <c r="B30" s="21">
        <v>2</v>
      </c>
      <c r="C30" s="21">
        <v>3</v>
      </c>
      <c r="D30" s="21">
        <v>4</v>
      </c>
      <c r="E30" s="21">
        <v>5</v>
      </c>
      <c r="F30" s="21">
        <v>6</v>
      </c>
      <c r="G30" s="21">
        <v>7</v>
      </c>
      <c r="H30" s="21">
        <v>8</v>
      </c>
    </row>
    <row r="31" spans="1:51" x14ac:dyDescent="0.15">
      <c r="A31" s="21" t="s">
        <v>2</v>
      </c>
      <c r="B31" s="21" t="s">
        <v>2</v>
      </c>
      <c r="C31" s="21" t="s">
        <v>2</v>
      </c>
      <c r="D31" s="21" t="s">
        <v>2</v>
      </c>
      <c r="E31" s="21" t="s">
        <v>2</v>
      </c>
      <c r="F31" s="21" t="s">
        <v>2</v>
      </c>
      <c r="G31" s="21" t="s">
        <v>2</v>
      </c>
      <c r="H31" s="21" t="s">
        <v>2</v>
      </c>
    </row>
    <row r="32" spans="1:51" x14ac:dyDescent="0.15">
      <c r="A32" s="21" t="str">
        <f>A22</f>
        <v>Idskov</v>
      </c>
      <c r="B32" s="21" t="str">
        <f>A23</f>
        <v>Frydkær</v>
      </c>
      <c r="C32" s="21" t="str">
        <f>A24</f>
        <v>LPHJ</v>
      </c>
      <c r="D32" s="21" t="str">
        <f>A25</f>
        <v>LPHJ</v>
      </c>
      <c r="E32" s="21" t="str">
        <f>D22</f>
        <v>Benbo</v>
      </c>
      <c r="F32" s="21" t="str">
        <f>D23</f>
        <v>Benbo</v>
      </c>
      <c r="G32" s="21" t="str">
        <f>D24</f>
        <v>LPHJ</v>
      </c>
      <c r="H32" s="21" t="str">
        <f>D25</f>
        <v>Robbo</v>
      </c>
    </row>
  </sheetData>
  <sheetProtection sheet="1" objects="1" scenarios="1"/>
  <mergeCells count="1">
    <mergeCell ref="AK11:AL1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3</vt:i4>
      </vt:variant>
    </vt:vector>
  </HeadingPairs>
  <TitlesOfParts>
    <vt:vector size="8" baseType="lpstr">
      <vt:lpstr>Kampe</vt:lpstr>
      <vt:lpstr>Rækker</vt:lpstr>
      <vt:lpstr>Rækker - Udskrift</vt:lpstr>
      <vt:lpstr>Resultater</vt:lpstr>
      <vt:lpstr>DB</vt:lpstr>
      <vt:lpstr>Rækker!Udskriftsområde</vt:lpstr>
      <vt:lpstr>Rækker - Udskrift!Udskriftsområde</vt:lpstr>
      <vt:lpstr>Resultater!Udskriftsområde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2006-06-29T19:10:49Z</cp:lastPrinted>
  <dcterms:created xsi:type="dcterms:W3CDTF">2003-03-17T15:19:10Z</dcterms:created>
  <dcterms:modified xsi:type="dcterms:W3CDTF">2026-10-22T15:53:18Z</dcterms:modified>
</cp:coreProperties>
</file>