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2792\AC\Temp\"/>
    </mc:Choice>
  </mc:AlternateContent>
  <xr:revisionPtr revIDLastSave="0" documentId="8_{42AC37BD-B3B2-8B44-BF74-9D194D23924C}" xr6:coauthVersionLast="47" xr6:coauthVersionMax="47" xr10:uidLastSave="{00000000-0000-0000-0000-000000000000}"/>
  <bookViews>
    <workbookView xWindow="-60" yWindow="-60" windowWidth="15480" windowHeight="11640" activeTab="4" xr2:uid="{7DB925A6-95B9-4C31-A837-C5B97BB9096A}"/>
  </bookViews>
  <sheets>
    <sheet name="Finaler" sheetId="16" r:id="rId1"/>
    <sheet name="Kampe" sheetId="10" r:id="rId2"/>
    <sheet name="Rækker" sheetId="6" r:id="rId3"/>
    <sheet name="Rækker - Udskrift" sheetId="3" r:id="rId4"/>
    <sheet name="Resultater" sheetId="17" r:id="rId5"/>
    <sheet name="DB" sheetId="11" state="hidden" r:id="rId6"/>
  </sheets>
  <externalReferences>
    <externalReference r:id="rId7"/>
    <externalReference r:id="rId8"/>
  </externalReferences>
  <definedNames>
    <definedName name="_xlnm.Print_Area" localSheetId="0">Finaler!$A$1:$D$13</definedName>
    <definedName name="_xlnm.Print_Area" localSheetId="2">Rækker!$A$1:$H$20</definedName>
    <definedName name="_xlnm.Print_Area" localSheetId="3">'Rækker - Udskrift'!$A$1:$BA$77</definedName>
    <definedName name="_xlnm.Print_Area" localSheetId="4">Resultater!$A$1:$H$15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11" l="1"/>
  <c r="F1" i="11"/>
  <c r="H1" i="11"/>
  <c r="B2" i="11"/>
  <c r="B3" i="11"/>
  <c r="D2" i="11"/>
  <c r="F2" i="11"/>
  <c r="H2" i="11"/>
  <c r="D3" i="11"/>
  <c r="H3" i="11"/>
  <c r="B4" i="11"/>
  <c r="D4" i="11"/>
  <c r="H4" i="11"/>
  <c r="B5" i="11"/>
  <c r="D5" i="11"/>
  <c r="B6" i="11"/>
  <c r="D6" i="11"/>
  <c r="P10" i="11"/>
  <c r="Q10" i="11"/>
  <c r="R10" i="11"/>
  <c r="S10" i="11"/>
  <c r="T10" i="11"/>
  <c r="U10" i="11"/>
  <c r="V10" i="11"/>
  <c r="W10" i="11"/>
  <c r="X10" i="11"/>
  <c r="Y10" i="11"/>
  <c r="Z10" i="11"/>
  <c r="AA10" i="11"/>
  <c r="AB10" i="11"/>
  <c r="A12" i="11"/>
  <c r="C12" i="11"/>
  <c r="D12" i="11"/>
  <c r="E12" i="11"/>
  <c r="AL12" i="11"/>
  <c r="F12" i="11"/>
  <c r="G12" i="11"/>
  <c r="I12" i="11"/>
  <c r="J12" i="11"/>
  <c r="K12" i="11"/>
  <c r="L12" i="11"/>
  <c r="H12" i="11"/>
  <c r="O12" i="11"/>
  <c r="M12" i="11"/>
  <c r="N12" i="11"/>
  <c r="AM12" i="11"/>
  <c r="A13" i="11"/>
  <c r="C13" i="11"/>
  <c r="D13" i="11"/>
  <c r="E13" i="11"/>
  <c r="F13" i="11"/>
  <c r="G13" i="11"/>
  <c r="I13" i="11"/>
  <c r="J13" i="11"/>
  <c r="K13" i="11"/>
  <c r="L13" i="11"/>
  <c r="H13" i="11"/>
  <c r="O13" i="11"/>
  <c r="M13" i="11"/>
  <c r="N13" i="11"/>
  <c r="AL13" i="11"/>
  <c r="AM13" i="11"/>
  <c r="A14" i="11"/>
  <c r="C14" i="11"/>
  <c r="D14" i="11"/>
  <c r="E14" i="11"/>
  <c r="F14" i="11"/>
  <c r="G14" i="11"/>
  <c r="I14" i="11"/>
  <c r="J14" i="11"/>
  <c r="K14" i="11"/>
  <c r="L14" i="11"/>
  <c r="H14" i="11"/>
  <c r="O14" i="11"/>
  <c r="M14" i="11"/>
  <c r="N14" i="11"/>
  <c r="P14" i="11"/>
  <c r="Q14" i="11"/>
  <c r="R14" i="11"/>
  <c r="S14" i="11"/>
  <c r="T14" i="11"/>
  <c r="U14" i="11"/>
  <c r="V14" i="11"/>
  <c r="W14" i="11"/>
  <c r="X14" i="11"/>
  <c r="Y14" i="11"/>
  <c r="Z14" i="11"/>
  <c r="AA14" i="11"/>
  <c r="AB14" i="11"/>
  <c r="AF14" i="11"/>
  <c r="AN14" i="11"/>
  <c r="A15" i="11"/>
  <c r="C15" i="11"/>
  <c r="D15" i="11"/>
  <c r="E15" i="11"/>
  <c r="F15" i="11"/>
  <c r="G15" i="11"/>
  <c r="I15" i="11"/>
  <c r="J15" i="11"/>
  <c r="K15" i="11"/>
  <c r="L15" i="11"/>
  <c r="H15" i="11"/>
  <c r="O15" i="11"/>
  <c r="M15" i="11"/>
  <c r="N15" i="11"/>
  <c r="P15" i="11"/>
  <c r="Q15" i="11"/>
  <c r="R15" i="11"/>
  <c r="S15" i="11"/>
  <c r="T15" i="11"/>
  <c r="U15" i="11"/>
  <c r="V15" i="11"/>
  <c r="W15" i="11"/>
  <c r="X15" i="11"/>
  <c r="Y15" i="11"/>
  <c r="Z15" i="11"/>
  <c r="AA15" i="11"/>
  <c r="AB15" i="11"/>
  <c r="AF15" i="11"/>
  <c r="AL15" i="11"/>
  <c r="AM15" i="11"/>
  <c r="AN15" i="11"/>
  <c r="A18" i="11"/>
  <c r="B18" i="11"/>
  <c r="C18" i="11"/>
  <c r="D18" i="11"/>
  <c r="E18" i="11"/>
  <c r="F18" i="11"/>
  <c r="L18" i="11"/>
  <c r="S18" i="11"/>
  <c r="U18" i="11"/>
  <c r="V18" i="11"/>
  <c r="W18" i="11"/>
  <c r="Y18" i="11"/>
  <c r="A19" i="11"/>
  <c r="B19" i="11"/>
  <c r="C19" i="11"/>
  <c r="D19" i="11"/>
  <c r="E19" i="11"/>
  <c r="F19" i="11"/>
  <c r="L19" i="11"/>
  <c r="S19" i="11"/>
  <c r="U19" i="11"/>
  <c r="Y19" i="11"/>
  <c r="V19" i="11"/>
  <c r="W19" i="11"/>
  <c r="A26" i="11"/>
  <c r="B26" i="11"/>
  <c r="C26" i="11"/>
  <c r="D26" i="11"/>
  <c r="A1" i="17"/>
  <c r="A3" i="17"/>
  <c r="B5" i="17"/>
  <c r="C5" i="17"/>
  <c r="D5" i="17"/>
  <c r="E5" i="17"/>
  <c r="F5" i="17"/>
  <c r="G5" i="17"/>
  <c r="H5" i="17"/>
  <c r="E7" i="17"/>
  <c r="A9" i="17"/>
  <c r="B11" i="17"/>
  <c r="C11" i="17"/>
  <c r="D11" i="17"/>
  <c r="E11" i="17"/>
  <c r="F11" i="17"/>
  <c r="G11" i="17"/>
  <c r="H11" i="17"/>
  <c r="E13" i="17"/>
  <c r="A1" i="3"/>
  <c r="F7" i="3"/>
  <c r="P12" i="11"/>
  <c r="G7" i="3"/>
  <c r="H7" i="3"/>
  <c r="I7" i="3"/>
  <c r="P13" i="11"/>
  <c r="J7" i="3"/>
  <c r="K7" i="3"/>
  <c r="L7" i="3"/>
  <c r="M7" i="3"/>
  <c r="N7" i="3"/>
  <c r="O7" i="3"/>
  <c r="P7" i="3"/>
  <c r="Q7" i="3"/>
  <c r="F8" i="3"/>
  <c r="Q12" i="11"/>
  <c r="G8" i="3"/>
  <c r="H8" i="3"/>
  <c r="I8" i="3"/>
  <c r="Q13" i="11"/>
  <c r="J8" i="3"/>
  <c r="K8" i="3"/>
  <c r="L8" i="3"/>
  <c r="M8" i="3"/>
  <c r="N8" i="3"/>
  <c r="O8" i="3"/>
  <c r="P8" i="3"/>
  <c r="Q8" i="3"/>
  <c r="F9" i="3"/>
  <c r="R12" i="11"/>
  <c r="G9" i="3"/>
  <c r="H9" i="3"/>
  <c r="I9" i="3"/>
  <c r="R13" i="11"/>
  <c r="J9" i="3"/>
  <c r="K9" i="3"/>
  <c r="L9" i="3"/>
  <c r="M9" i="3"/>
  <c r="N9" i="3"/>
  <c r="O9" i="3"/>
  <c r="P9" i="3"/>
  <c r="Q9" i="3"/>
  <c r="F10" i="3"/>
  <c r="S12" i="11"/>
  <c r="G10" i="3"/>
  <c r="H10" i="3"/>
  <c r="I10" i="3"/>
  <c r="S13" i="11"/>
  <c r="J10" i="3"/>
  <c r="K10" i="3"/>
  <c r="L10" i="3"/>
  <c r="M10" i="3"/>
  <c r="N10" i="3"/>
  <c r="O10" i="3"/>
  <c r="P10" i="3"/>
  <c r="Q10" i="3"/>
  <c r="F11" i="3"/>
  <c r="T12" i="11"/>
  <c r="G11" i="3"/>
  <c r="H11" i="3"/>
  <c r="I11" i="3"/>
  <c r="T13" i="11"/>
  <c r="J11" i="3"/>
  <c r="K11" i="3"/>
  <c r="L11" i="3"/>
  <c r="M11" i="3"/>
  <c r="N11" i="3"/>
  <c r="O11" i="3"/>
  <c r="P11" i="3"/>
  <c r="Q11" i="3"/>
  <c r="F12" i="3"/>
  <c r="U12" i="11"/>
  <c r="G12" i="3"/>
  <c r="H12" i="3"/>
  <c r="I12" i="3"/>
  <c r="U13" i="11"/>
  <c r="J12" i="3"/>
  <c r="K12" i="3"/>
  <c r="L12" i="3"/>
  <c r="M12" i="3"/>
  <c r="N12" i="3"/>
  <c r="O12" i="3"/>
  <c r="P12" i="3"/>
  <c r="Q12" i="3"/>
  <c r="F13" i="3"/>
  <c r="V12" i="11"/>
  <c r="G13" i="3"/>
  <c r="H13" i="3"/>
  <c r="I13" i="3"/>
  <c r="V13" i="11"/>
  <c r="J13" i="3"/>
  <c r="K13" i="3"/>
  <c r="L13" i="3"/>
  <c r="M13" i="3"/>
  <c r="N13" i="3"/>
  <c r="O13" i="3"/>
  <c r="P13" i="3"/>
  <c r="Q13" i="3"/>
  <c r="F14" i="3"/>
  <c r="W12" i="11"/>
  <c r="G14" i="3"/>
  <c r="H14" i="3"/>
  <c r="I14" i="3"/>
  <c r="W13" i="11"/>
  <c r="J14" i="3"/>
  <c r="K14" i="3"/>
  <c r="L14" i="3"/>
  <c r="M14" i="3"/>
  <c r="N14" i="3"/>
  <c r="O14" i="3"/>
  <c r="P14" i="3"/>
  <c r="Q14" i="3"/>
  <c r="R14" i="3"/>
  <c r="F15" i="3"/>
  <c r="X12" i="11"/>
  <c r="G15" i="3"/>
  <c r="H15" i="3"/>
  <c r="I15" i="3"/>
  <c r="X13" i="11"/>
  <c r="J15" i="3"/>
  <c r="K15" i="3"/>
  <c r="L15" i="3"/>
  <c r="M15" i="3"/>
  <c r="N15" i="3"/>
  <c r="O15" i="3"/>
  <c r="P15" i="3"/>
  <c r="Q15" i="3"/>
  <c r="R15" i="3"/>
  <c r="F16" i="3"/>
  <c r="Y12" i="11"/>
  <c r="G16" i="3"/>
  <c r="H16" i="3"/>
  <c r="I16" i="3"/>
  <c r="Y13" i="11"/>
  <c r="J16" i="3"/>
  <c r="K16" i="3"/>
  <c r="L16" i="3"/>
  <c r="M16" i="3"/>
  <c r="N16" i="3"/>
  <c r="O16" i="3"/>
  <c r="P16" i="3"/>
  <c r="Q16" i="3"/>
  <c r="R16" i="3"/>
  <c r="F17" i="3"/>
  <c r="Z12" i="11"/>
  <c r="G17" i="3"/>
  <c r="H17" i="3"/>
  <c r="I17" i="3"/>
  <c r="Z13" i="11"/>
  <c r="J17" i="3"/>
  <c r="K17" i="3"/>
  <c r="L17" i="3"/>
  <c r="M17" i="3"/>
  <c r="N17" i="3"/>
  <c r="O17" i="3"/>
  <c r="P17" i="3"/>
  <c r="Q17" i="3"/>
  <c r="F18" i="3"/>
  <c r="AA12" i="11"/>
  <c r="G18" i="3"/>
  <c r="H18" i="3"/>
  <c r="I18" i="3"/>
  <c r="AA13" i="11"/>
  <c r="J18" i="3"/>
  <c r="K18" i="3"/>
  <c r="L18" i="3"/>
  <c r="M18" i="3"/>
  <c r="N18" i="3"/>
  <c r="O18" i="3"/>
  <c r="P18" i="3"/>
  <c r="Q18" i="3"/>
  <c r="F19" i="3"/>
  <c r="AB12" i="11"/>
  <c r="G19" i="3"/>
  <c r="H19" i="3"/>
  <c r="I19" i="3"/>
  <c r="AB13" i="11"/>
  <c r="J19" i="3"/>
  <c r="K19" i="3"/>
  <c r="L19" i="3"/>
  <c r="M19" i="3"/>
  <c r="N19" i="3"/>
  <c r="O19" i="3"/>
  <c r="P19" i="3"/>
  <c r="Q19" i="3"/>
  <c r="F20" i="3"/>
  <c r="I20" i="3"/>
  <c r="L20" i="3"/>
  <c r="O20" i="3"/>
  <c r="B1" i="6"/>
  <c r="D1" i="6"/>
  <c r="F1" i="6"/>
  <c r="H1" i="6"/>
  <c r="B3" i="6"/>
  <c r="D3" i="6"/>
  <c r="F3" i="6"/>
  <c r="H3" i="6"/>
  <c r="F4" i="6"/>
  <c r="H4" i="6"/>
  <c r="A1" i="10"/>
  <c r="A1" i="16"/>
  <c r="A3" i="16"/>
  <c r="B5" i="16"/>
  <c r="C5" i="16"/>
  <c r="D5" i="16"/>
  <c r="A8" i="16"/>
  <c r="B10" i="16"/>
  <c r="C10" i="16"/>
  <c r="D10" i="16"/>
  <c r="A12" i="16"/>
  <c r="AN13" i="11"/>
  <c r="AO13" i="11"/>
  <c r="AN12" i="11"/>
  <c r="AL14" i="11"/>
  <c r="AM14" i="11"/>
  <c r="AF13" i="11"/>
  <c r="H5" i="11"/>
  <c r="A14" i="17"/>
  <c r="AO12" i="11"/>
  <c r="AQ15" i="11"/>
  <c r="AS15" i="11"/>
  <c r="AO15" i="11"/>
  <c r="AV15" i="11"/>
  <c r="AR15" i="11"/>
  <c r="AT15" i="11"/>
  <c r="AP15" i="11"/>
  <c r="AU15" i="11"/>
  <c r="AF12" i="11"/>
  <c r="B4" i="6"/>
  <c r="F5" i="3"/>
  <c r="AC12" i="11"/>
  <c r="AK12" i="11"/>
  <c r="D4" i="6"/>
  <c r="I5" i="3"/>
  <c r="AK13" i="11"/>
  <c r="AC13" i="11"/>
  <c r="L5" i="3"/>
  <c r="AJ14" i="11"/>
  <c r="AK14" i="11"/>
  <c r="AC14" i="11"/>
  <c r="AE14" i="11"/>
  <c r="AO14" i="11"/>
  <c r="AR12" i="11"/>
  <c r="AK15" i="11"/>
  <c r="AJ15" i="11"/>
  <c r="O5" i="3"/>
  <c r="AC15" i="11"/>
  <c r="AQ14" i="11"/>
  <c r="AU14" i="11"/>
  <c r="AS14" i="11"/>
  <c r="AP14" i="11"/>
  <c r="AR14" i="11"/>
  <c r="AT14" i="11"/>
  <c r="AV14" i="11"/>
  <c r="G18" i="11"/>
  <c r="H18" i="11"/>
  <c r="I18" i="11"/>
  <c r="J18" i="11"/>
  <c r="I19" i="11"/>
  <c r="J19" i="11"/>
  <c r="G19" i="11"/>
  <c r="H19" i="11"/>
  <c r="O18" i="11"/>
  <c r="P18" i="11"/>
  <c r="N18" i="11"/>
  <c r="Q18" i="11"/>
  <c r="P19" i="11"/>
  <c r="O19" i="11"/>
  <c r="N19" i="11"/>
  <c r="Q19" i="11"/>
  <c r="F4" i="3"/>
  <c r="B6" i="6"/>
  <c r="A8" i="11"/>
  <c r="B20" i="6"/>
  <c r="B8" i="11"/>
  <c r="D20" i="6"/>
  <c r="I4" i="3"/>
  <c r="D6" i="6"/>
  <c r="L4" i="3"/>
  <c r="F6" i="6"/>
  <c r="C8" i="11"/>
  <c r="F20" i="6"/>
  <c r="H6" i="6"/>
  <c r="D8" i="11"/>
  <c r="H20" i="6"/>
  <c r="O4" i="3"/>
  <c r="AG12" i="11"/>
  <c r="AG14" i="11"/>
  <c r="AG15" i="11"/>
  <c r="AG13" i="11"/>
  <c r="AJ12" i="11"/>
  <c r="AE12" i="11"/>
  <c r="C15" i="3"/>
  <c r="B14" i="3"/>
  <c r="B12" i="3"/>
  <c r="B9" i="3"/>
  <c r="C18" i="3"/>
  <c r="C11" i="3"/>
  <c r="C10" i="3"/>
  <c r="B10" i="3"/>
  <c r="C7" i="3"/>
  <c r="E4" i="3"/>
  <c r="B19" i="3"/>
  <c r="C17" i="3"/>
  <c r="C16" i="3"/>
  <c r="B15" i="3"/>
  <c r="B13" i="3"/>
  <c r="C8" i="3"/>
  <c r="A20" i="3"/>
  <c r="B18" i="3"/>
  <c r="B17" i="3"/>
  <c r="B16" i="3"/>
  <c r="C14" i="3"/>
  <c r="C13" i="3"/>
  <c r="B11" i="3"/>
  <c r="C9" i="3"/>
  <c r="B7" i="3"/>
  <c r="A4" i="3"/>
  <c r="C19" i="3"/>
  <c r="C12" i="3"/>
  <c r="B8" i="3"/>
  <c r="AD13" i="11"/>
  <c r="AH13" i="11"/>
  <c r="AD14" i="11"/>
  <c r="AH14" i="11"/>
  <c r="AD12" i="11"/>
  <c r="AH12" i="11"/>
  <c r="AJ13" i="11"/>
  <c r="AE13" i="11"/>
  <c r="AV12" i="11"/>
  <c r="AU12" i="11"/>
  <c r="AR13" i="11"/>
  <c r="AP13" i="11"/>
  <c r="AQ12" i="11"/>
  <c r="AS13" i="11"/>
  <c r="AV13" i="11"/>
  <c r="AS12" i="11"/>
  <c r="AU13" i="11"/>
  <c r="AP12" i="11"/>
  <c r="AT12" i="11"/>
  <c r="AQ13" i="11"/>
  <c r="AT13" i="11"/>
  <c r="AD15" i="11"/>
  <c r="AH15" i="11"/>
  <c r="AE15" i="11"/>
  <c r="K19" i="11"/>
  <c r="K18" i="11"/>
  <c r="AI15" i="11"/>
  <c r="AI12" i="11"/>
  <c r="R18" i="11"/>
  <c r="R19" i="11"/>
  <c r="AI13" i="11"/>
  <c r="AI14" i="11"/>
  <c r="M19" i="11"/>
  <c r="M18" i="11"/>
  <c r="T19" i="11"/>
  <c r="T18" i="11"/>
</calcChain>
</file>

<file path=xl/sharedStrings.xml><?xml version="1.0" encoding="utf-8"?>
<sst xmlns="http://schemas.openxmlformats.org/spreadsheetml/2006/main" count="233" uniqueCount="127">
  <si>
    <t>-</t>
  </si>
  <si>
    <t>X</t>
  </si>
  <si>
    <t>Signatur</t>
  </si>
  <si>
    <t>Point</t>
  </si>
  <si>
    <t>Rundens reservescore:</t>
  </si>
  <si>
    <t>Opstillingsfejl - lørdag kl. 14.00</t>
  </si>
  <si>
    <t>Klagefrister:</t>
  </si>
  <si>
    <t>Hjemmehold</t>
  </si>
  <si>
    <t>Udehold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</si>
  <si>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</si>
  <si>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</si>
  <si>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</si>
  <si>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</si>
  <si>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</si>
  <si>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</si>
  <si>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</si>
  <si>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</si>
  <si>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</si>
  <si>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</si>
  <si>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</si>
  <si>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</si>
  <si>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</si>
  <si>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N.B.: Holdnavne skal holdes inden for de grønne felter.</t>
  </si>
  <si>
    <t>År:</t>
  </si>
  <si>
    <t>Res</t>
  </si>
  <si>
    <t>ID</t>
  </si>
  <si>
    <t xml:space="preserve"> </t>
  </si>
  <si>
    <t>1X2</t>
  </si>
  <si>
    <t>Regnefejl - 3 uger</t>
  </si>
  <si>
    <t>Runde F:</t>
  </si>
  <si>
    <t>Runde N:</t>
  </si>
  <si>
    <t>Res N:</t>
  </si>
  <si>
    <t>Tal F:</t>
  </si>
  <si>
    <t>Tal N:</t>
  </si>
  <si>
    <t>Opd.?</t>
  </si>
  <si>
    <t>Deltager</t>
  </si>
  <si>
    <t>Kamp 0</t>
  </si>
  <si>
    <t>Kamp 1</t>
  </si>
  <si>
    <t>Kamp 2</t>
  </si>
  <si>
    <t>Kamp 3</t>
  </si>
  <si>
    <t>Kamp 4</t>
  </si>
  <si>
    <t>Kamp 5</t>
  </si>
  <si>
    <t>Kamp 6</t>
  </si>
  <si>
    <t>Kamp 7</t>
  </si>
  <si>
    <t>Kamp 8</t>
  </si>
  <si>
    <t>Kamp 9</t>
  </si>
  <si>
    <t>Kamp 10</t>
  </si>
  <si>
    <t>Kamp 11</t>
  </si>
  <si>
    <t>Kamp 12</t>
  </si>
  <si>
    <t>Kamp 13</t>
  </si>
  <si>
    <t>Total</t>
  </si>
  <si>
    <t>ES N</t>
  </si>
  <si>
    <t>BU</t>
  </si>
  <si>
    <t>T Pl.</t>
  </si>
  <si>
    <t>P Pl.</t>
  </si>
  <si>
    <t>BU Pl.</t>
  </si>
  <si>
    <t>Dis F</t>
  </si>
  <si>
    <t>Dis E</t>
  </si>
  <si>
    <t>Udm F</t>
  </si>
  <si>
    <t>Udm E</t>
  </si>
  <si>
    <t>MR F</t>
  </si>
  <si>
    <t>MR E</t>
  </si>
  <si>
    <t>Res F</t>
  </si>
  <si>
    <t>Res E</t>
  </si>
  <si>
    <t>MR</t>
  </si>
  <si>
    <t>Kval</t>
  </si>
  <si>
    <t>Dis</t>
  </si>
  <si>
    <t>Udm</t>
  </si>
  <si>
    <t>ID E</t>
  </si>
  <si>
    <t>Deltager E</t>
  </si>
  <si>
    <t>Kval F</t>
  </si>
  <si>
    <t>Kval E</t>
  </si>
  <si>
    <t>H S</t>
  </si>
  <si>
    <t>H G</t>
  </si>
  <si>
    <t>H ID</t>
  </si>
  <si>
    <t>U S</t>
  </si>
  <si>
    <t>U G</t>
  </si>
  <si>
    <t>U ID</t>
  </si>
  <si>
    <t>Vinder</t>
  </si>
  <si>
    <t>ES H</t>
  </si>
  <si>
    <t>BU H</t>
  </si>
  <si>
    <t>ES U</t>
  </si>
  <si>
    <t>BU U</t>
  </si>
  <si>
    <t>V S</t>
  </si>
  <si>
    <t>V G</t>
  </si>
  <si>
    <t>V ID</t>
  </si>
  <si>
    <t>Dis H</t>
  </si>
  <si>
    <t>Udm H</t>
  </si>
  <si>
    <t>MR H</t>
  </si>
  <si>
    <t>Res H</t>
  </si>
  <si>
    <t>Udm U</t>
  </si>
  <si>
    <t>MR U</t>
  </si>
  <si>
    <t>Res U</t>
  </si>
  <si>
    <t>Dis U</t>
  </si>
  <si>
    <t>ES UR</t>
  </si>
  <si>
    <t>ES HR</t>
  </si>
  <si>
    <t>Ude</t>
  </si>
  <si>
    <t>Runde E:</t>
  </si>
  <si>
    <t>Ego</t>
  </si>
  <si>
    <t>3./4. pladsen</t>
  </si>
  <si>
    <t>Birmingham</t>
  </si>
  <si>
    <t>Hull</t>
  </si>
  <si>
    <t>Watford</t>
  </si>
  <si>
    <t>Newcastle</t>
  </si>
  <si>
    <t>Middlesbrough</t>
  </si>
  <si>
    <t>Fulham</t>
  </si>
  <si>
    <t>Queens Park R</t>
  </si>
  <si>
    <t>West Ham</t>
  </si>
  <si>
    <t>Millwall</t>
  </si>
  <si>
    <t>Arsenal</t>
  </si>
  <si>
    <t>Blackburn</t>
  </si>
  <si>
    <t>Cardiff</t>
  </si>
  <si>
    <t>Charlton</t>
  </si>
  <si>
    <t>Preston</t>
  </si>
  <si>
    <t>West Bromwich</t>
  </si>
  <si>
    <t>Huddersfield</t>
  </si>
  <si>
    <t>Luton</t>
  </si>
  <si>
    <t>Milton Keynes Dons</t>
  </si>
  <si>
    <t>Swansea</t>
  </si>
  <si>
    <t>Burnley</t>
  </si>
  <si>
    <t>Sheffield U</t>
  </si>
  <si>
    <t>Southampton</t>
  </si>
  <si>
    <t>Lincoln</t>
  </si>
  <si>
    <t>Exeter</t>
  </si>
  <si>
    <t>Forest Green</t>
  </si>
  <si>
    <t>Swindon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</si>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</sst>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2"/>
      <color indexed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u/>
      <sz val="10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sz val="8"/>
      <name val="Arial"/>
      <family val="2"/>
    </font>
    <font>
      <sz val="14"/>
      <name val="Arial"/>
      <family val="2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</fills>
  <borders count="34">
    <border>
      <left/>
      <right/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Fill="1" applyBorder="1" applyAlignment="1" applyProtection="1">
      <alignment horizontal="right" vertical="center"/>
    </xf>
    <xf numFmtId="0" fontId="0" fillId="0" borderId="0" xfId="0" applyFill="1" applyBorder="1" applyAlignment="1" applyProtection="1">
      <alignment horizontal="center" vertical="center"/>
    </xf>
    <xf numFmtId="0" fontId="0" fillId="0" borderId="7" xfId="0" applyFill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center" vertical="center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6" fillId="0" borderId="13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0" fontId="1" fillId="0" borderId="14" xfId="0" applyFont="1" applyBorder="1" applyAlignment="1" applyProtection="1">
      <alignment horizontal="center" vertical="center"/>
    </xf>
    <xf numFmtId="0" fontId="1" fillId="0" borderId="15" xfId="0" applyFont="1" applyBorder="1" applyAlignment="1" applyProtection="1">
      <alignment horizontal="center" vertical="center"/>
    </xf>
    <xf numFmtId="0" fontId="1" fillId="0" borderId="16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right" vertical="center"/>
    </xf>
    <xf numFmtId="0" fontId="5" fillId="0" borderId="0" xfId="0" applyFont="1" applyBorder="1" applyAlignment="1" applyProtection="1">
      <alignment horizontal="left" vertical="center"/>
    </xf>
    <xf numFmtId="0" fontId="5" fillId="0" borderId="7" xfId="0" applyFont="1" applyBorder="1" applyAlignment="1" applyProtection="1">
      <alignment horizontal="left" vertical="center"/>
    </xf>
    <xf numFmtId="0" fontId="1" fillId="0" borderId="17" xfId="0" applyFont="1" applyBorder="1" applyAlignment="1" applyProtection="1">
      <alignment horizontal="center" vertical="center"/>
    </xf>
    <xf numFmtId="0" fontId="1" fillId="0" borderId="18" xfId="0" applyFont="1" applyBorder="1" applyAlignment="1" applyProtection="1">
      <alignment horizontal="center" vertical="center"/>
    </xf>
    <xf numFmtId="0" fontId="1" fillId="0" borderId="19" xfId="0" applyFont="1" applyBorder="1" applyAlignment="1" applyProtection="1">
      <alignment horizontal="center" vertical="center"/>
    </xf>
    <xf numFmtId="0" fontId="1" fillId="0" borderId="20" xfId="0" applyFont="1" applyBorder="1" applyAlignment="1" applyProtection="1">
      <alignment horizontal="center" vertical="center"/>
    </xf>
    <xf numFmtId="0" fontId="5" fillId="0" borderId="9" xfId="0" applyFont="1" applyBorder="1" applyAlignment="1" applyProtection="1">
      <alignment horizontal="right" vertical="center"/>
    </xf>
    <xf numFmtId="0" fontId="5" fillId="0" borderId="9" xfId="0" applyFont="1" applyBorder="1" applyAlignment="1" applyProtection="1">
      <alignment horizontal="left" vertical="center"/>
    </xf>
    <xf numFmtId="0" fontId="1" fillId="0" borderId="21" xfId="0" applyFont="1" applyBorder="1" applyAlignment="1" applyProtection="1">
      <alignment horizontal="center" vertical="center"/>
    </xf>
    <xf numFmtId="0" fontId="1" fillId="0" borderId="22" xfId="0" applyFont="1" applyBorder="1" applyAlignment="1" applyProtection="1">
      <alignment horizontal="center" vertical="center"/>
    </xf>
    <xf numFmtId="0" fontId="1" fillId="0" borderId="23" xfId="0" applyFont="1" applyBorder="1" applyAlignment="1" applyProtection="1">
      <alignment horizontal="center" vertical="center"/>
    </xf>
    <xf numFmtId="0" fontId="1" fillId="0" borderId="8" xfId="0" applyFont="1" applyBorder="1" applyAlignment="1" applyProtection="1">
      <alignment horizontal="center" vertical="center"/>
    </xf>
    <xf numFmtId="0" fontId="1" fillId="0" borderId="24" xfId="0" applyFont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 textRotation="90"/>
    </xf>
    <xf numFmtId="0" fontId="1" fillId="0" borderId="0" xfId="0" applyFont="1" applyFill="1" applyBorder="1" applyAlignment="1" applyProtection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 applyProtection="1">
      <alignment vertical="center"/>
    </xf>
    <xf numFmtId="0" fontId="1" fillId="0" borderId="3" xfId="0" applyFont="1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0" fillId="2" borderId="0" xfId="0" applyFill="1" applyAlignment="1" applyProtection="1">
      <alignment horizontal="center" vertical="center"/>
      <protection locked="0"/>
    </xf>
    <xf numFmtId="0" fontId="12" fillId="0" borderId="3" xfId="0" applyFont="1" applyBorder="1" applyAlignment="1" applyProtection="1">
      <alignment horizontal="center" vertical="center"/>
      <protection locked="0"/>
    </xf>
    <xf numFmtId="0" fontId="12" fillId="0" borderId="4" xfId="0" applyFont="1" applyBorder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25" xfId="0" applyFont="1" applyBorder="1" applyAlignment="1" applyProtection="1">
      <alignment horizontal="center" vertical="center"/>
      <protection locked="0"/>
    </xf>
    <xf numFmtId="0" fontId="4" fillId="0" borderId="32" xfId="0" applyFont="1" applyBorder="1" applyAlignment="1" applyProtection="1">
      <alignment horizontal="center" vertical="center"/>
    </xf>
    <xf numFmtId="0" fontId="0" fillId="0" borderId="33" xfId="0" applyBorder="1" applyAlignment="1" applyProtection="1">
      <alignment horizontal="center" vertical="center"/>
    </xf>
    <xf numFmtId="0" fontId="0" fillId="0" borderId="24" xfId="0" applyBorder="1" applyAlignment="1" applyProtection="1">
      <alignment horizontal="center" vertical="center"/>
    </xf>
    <xf numFmtId="0" fontId="1" fillId="0" borderId="26" xfId="0" applyFont="1" applyBorder="1" applyAlignment="1" applyProtection="1">
      <alignment horizontal="center" vertical="center" textRotation="90"/>
    </xf>
    <xf numFmtId="0" fontId="1" fillId="0" borderId="28" xfId="0" applyFont="1" applyBorder="1" applyAlignment="1" applyProtection="1">
      <alignment horizontal="center" vertical="center" textRotation="90"/>
    </xf>
    <xf numFmtId="0" fontId="1" fillId="0" borderId="30" xfId="0" applyFont="1" applyBorder="1" applyAlignment="1" applyProtection="1">
      <alignment horizontal="center" vertical="center" textRotation="90"/>
    </xf>
    <xf numFmtId="0" fontId="5" fillId="0" borderId="27" xfId="0" applyFont="1" applyBorder="1" applyAlignment="1" applyProtection="1">
      <alignment horizontal="center" vertical="center"/>
    </xf>
    <xf numFmtId="0" fontId="5" fillId="0" borderId="29" xfId="0" applyFont="1" applyBorder="1" applyAlignment="1" applyProtection="1">
      <alignment horizontal="center" vertical="center"/>
    </xf>
    <xf numFmtId="0" fontId="5" fillId="0" borderId="31" xfId="0" applyFont="1" applyBorder="1" applyAlignment="1" applyProtection="1">
      <alignment horizontal="center" vertical="center"/>
    </xf>
    <xf numFmtId="0" fontId="1" fillId="0" borderId="27" xfId="0" applyFont="1" applyBorder="1" applyAlignment="1" applyProtection="1">
      <alignment horizontal="right" vertical="center"/>
    </xf>
    <xf numFmtId="0" fontId="0" fillId="0" borderId="29" xfId="0" applyBorder="1" applyAlignment="1" applyProtection="1">
      <alignment horizontal="right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 textRotation="90"/>
    </xf>
    <xf numFmtId="0" fontId="5" fillId="0" borderId="1" xfId="0" applyFont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0" fillId="0" borderId="29" xfId="0" applyBorder="1" applyAlignment="1">
      <alignment horizontal="center" vertical="center"/>
    </xf>
    <xf numFmtId="0" fontId="9" fillId="0" borderId="0" xfId="0" applyFont="1" applyAlignment="1" applyProtection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textRotation="90"/>
    </xf>
    <xf numFmtId="0" fontId="0" fillId="0" borderId="1" xfId="0" applyBorder="1" applyAlignment="1">
      <alignment horizontal="center" vertical="center"/>
    </xf>
    <xf numFmtId="0" fontId="3" fillId="0" borderId="26" xfId="0" applyFont="1" applyBorder="1" applyAlignment="1" applyProtection="1">
      <alignment horizontal="center" vertical="center"/>
    </xf>
    <xf numFmtId="0" fontId="11" fillId="0" borderId="28" xfId="0" applyFont="1" applyBorder="1" applyAlignment="1" applyProtection="1">
      <alignment horizontal="center" vertical="center"/>
    </xf>
    <xf numFmtId="0" fontId="11" fillId="0" borderId="30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 vertical="center"/>
    </xf>
    <xf numFmtId="0" fontId="11" fillId="0" borderId="0" xfId="0" applyFont="1" applyBorder="1" applyAlignment="1" applyProtection="1">
      <alignment horizontal="center" vertical="center"/>
    </xf>
    <xf numFmtId="0" fontId="11" fillId="0" borderId="7" xfId="0" applyFont="1" applyBorder="1" applyAlignment="1" applyProtection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28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26" xfId="0" applyFont="1" applyBorder="1" applyAlignment="1">
      <alignment horizontal="right" vertical="center"/>
    </xf>
    <xf numFmtId="0" fontId="5" fillId="0" borderId="27" xfId="0" applyFont="1" applyBorder="1" applyAlignment="1">
      <alignment vertical="center"/>
    </xf>
    <xf numFmtId="0" fontId="1" fillId="0" borderId="28" xfId="0" applyFont="1" applyBorder="1" applyAlignment="1">
      <alignment horizontal="right" vertical="center"/>
    </xf>
    <xf numFmtId="0" fontId="5" fillId="0" borderId="29" xfId="0" applyFont="1" applyBorder="1" applyAlignment="1">
      <alignment vertical="center"/>
    </xf>
    <xf numFmtId="0" fontId="1" fillId="0" borderId="30" xfId="0" applyFont="1" applyBorder="1" applyAlignment="1">
      <alignment horizontal="left" vertical="center"/>
    </xf>
    <xf numFmtId="0" fontId="5" fillId="0" borderId="31" xfId="0" applyFont="1" applyBorder="1" applyAlignment="1">
      <alignment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0" fillId="0" borderId="28" xfId="0" applyBorder="1"/>
    <xf numFmtId="0" fontId="0" fillId="0" borderId="30" xfId="0" applyBorder="1"/>
    <xf numFmtId="0" fontId="0" fillId="0" borderId="27" xfId="0" applyBorder="1"/>
    <xf numFmtId="0" fontId="0" fillId="0" borderId="29" xfId="0" applyBorder="1"/>
    <xf numFmtId="0" fontId="0" fillId="0" borderId="31" xfId="0" applyBorder="1"/>
    <xf numFmtId="0" fontId="7" fillId="0" borderId="28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6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3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2" xfId="0" applyFont="1" applyBorder="1" applyAlignment="1">
      <alignment horizontal="right" vertical="center"/>
    </xf>
    <xf numFmtId="0" fontId="1" fillId="0" borderId="33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9" xfId="0" applyFont="1" applyBorder="1" applyAlignment="1">
      <alignment horizontal="right" vertical="center"/>
    </xf>
    <xf numFmtId="0" fontId="1" fillId="0" borderId="3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27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29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28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33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 /><Relationship Id="rId3" Type="http://schemas.openxmlformats.org/officeDocument/2006/relationships/worksheet" Target="worksheets/sheet3.xml" /><Relationship Id="rId7" Type="http://schemas.openxmlformats.org/officeDocument/2006/relationships/externalLink" Target="externalLinks/externalLink1.xml" /><Relationship Id="rId12" Type="http://schemas.openxmlformats.org/officeDocument/2006/relationships/calcChain" Target="calcChain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sharedStrings" Target="sharedStrings.xml" /><Relationship Id="rId5" Type="http://schemas.openxmlformats.org/officeDocument/2006/relationships/worksheet" Target="worksheets/sheet5.xml" /><Relationship Id="rId10" Type="http://schemas.openxmlformats.org/officeDocument/2006/relationships/styles" Target="styles.xml" /><Relationship Id="rId4" Type="http://schemas.openxmlformats.org/officeDocument/2006/relationships/worksheet" Target="worksheets/sheet4.xml" /><Relationship Id="rId9" Type="http://schemas.openxmlformats.org/officeDocument/2006/relationships/theme" Target="theme/theme1.xml" 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Resources/directory/5286cfff-7740-45e7-8367-371e0d8b3569.ExcelAutomationServiceFrontend.WorkingDir/NoAVScans/cf377ee0-b613-494e-8420-d47b151e1c69/in/Runde%2029%20-%20Semifinaler%20K3.xls" TargetMode="External" 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Resources/directory/5286cfff-7740-45e7-8367-371e0d8b3569.ExcelAutomationServiceFrontend.WorkingDir/NoAVScans/cf377ee0-b613-494e-8420-d47b151e1c69/in/Runde%2001.xls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mpe"/>
      <sheetName val="Rækker"/>
      <sheetName val="Rækker - Udskrift"/>
      <sheetName val="Resultater"/>
      <sheetName val="Finaler"/>
      <sheetName val="DB"/>
    </sheetNames>
    <sheetDataSet>
      <sheetData sheetId="0"/>
      <sheetData sheetId="1"/>
      <sheetData sheetId="2"/>
      <sheetData sheetId="3"/>
      <sheetData sheetId="4"/>
      <sheetData sheetId="5">
        <row r="1">
          <cell r="B1">
            <v>2026</v>
          </cell>
        </row>
        <row r="3">
          <cell r="B3">
            <v>29</v>
          </cell>
          <cell r="D3" t="str">
            <v>Semifinaler</v>
          </cell>
        </row>
        <row r="4">
          <cell r="D4" t="str">
            <v>Finalen</v>
          </cell>
        </row>
        <row r="5">
          <cell r="B5">
            <v>29</v>
          </cell>
        </row>
        <row r="12">
          <cell r="AS12" t="str">
            <v>Benbo</v>
          </cell>
          <cell r="AT12">
            <v>2</v>
          </cell>
          <cell r="AW12">
            <v>0</v>
          </cell>
          <cell r="AX12">
            <v>0</v>
          </cell>
          <cell r="AY12">
            <v>0</v>
          </cell>
          <cell r="AZ12">
            <v>1</v>
          </cell>
          <cell r="BA12">
            <v>0</v>
          </cell>
        </row>
        <row r="13">
          <cell r="AS13" t="str">
            <v>LPHJ</v>
          </cell>
          <cell r="AT13">
            <v>2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</row>
        <row r="14">
          <cell r="AS14" t="str">
            <v/>
          </cell>
          <cell r="AT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</row>
        <row r="15">
          <cell r="AS15" t="str">
            <v/>
          </cell>
          <cell r="AT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</row>
        <row r="22">
          <cell r="A22" t="str">
            <v>Benbo</v>
          </cell>
          <cell r="B22" t="str">
            <v>Benbo (8)</v>
          </cell>
          <cell r="C22">
            <v>96</v>
          </cell>
          <cell r="D22" t="str">
            <v>LPHJ</v>
          </cell>
          <cell r="E22" t="str">
            <v>LPHJ (4)</v>
          </cell>
          <cell r="F22">
            <v>56</v>
          </cell>
        </row>
        <row r="23">
          <cell r="A23" t="str">
            <v>Benbo</v>
          </cell>
          <cell r="B23" t="str">
            <v>Benbo (16)</v>
          </cell>
          <cell r="C23">
            <v>95</v>
          </cell>
          <cell r="D23" t="str">
            <v>LPHJ</v>
          </cell>
          <cell r="E23" t="str">
            <v>LPHJ (10)</v>
          </cell>
          <cell r="F23">
            <v>56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æsonstart"/>
      <sheetName val="Puljeinddeling"/>
      <sheetName val="Program"/>
      <sheetName val="1. runde"/>
      <sheetName val="Kampe"/>
      <sheetName val="Rækker"/>
      <sheetName val="Rækker - Udskrift"/>
      <sheetName val="Stillingen - Pulje 1-8"/>
      <sheetName val="Stillingen - Pulje 9-16"/>
      <sheetName val="D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H1" t="str">
            <v>Grand Prix-række afgives til Bjarne Villadsen</v>
          </cell>
        </row>
        <row r="2">
          <cell r="H2" t="str">
            <v>Senest Onsdag kl. 23.00 i næste kampuge</v>
          </cell>
        </row>
        <row r="3">
          <cell r="H3" t="str">
            <v>på tlf.: 20 46 98 75 eller på email: lundstipsforening@gmail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4A350-2D4A-4D5F-846E-FCC39286FB03}">
  <sheetPr>
    <pageSetUpPr fitToPage="1"/>
  </sheetPr>
  <dimension ref="A1:D13"/>
  <sheetViews>
    <sheetView showGridLines="0" zoomScale="91" workbookViewId="0">
      <selection sqref="A1:D2"/>
    </sheetView>
  </sheetViews>
  <sheetFormatPr defaultColWidth="9.16796875" defaultRowHeight="12.75" x14ac:dyDescent="0.15"/>
  <cols>
    <col min="1" max="1" width="3.7734375" style="51" bestFit="1" customWidth="1"/>
    <col min="2" max="2" width="18.33984375" style="51" customWidth="1"/>
    <col min="3" max="3" width="1.6171875" style="51" customWidth="1"/>
    <col min="4" max="4" width="18.33984375" style="51" customWidth="1"/>
    <col min="5" max="16384" width="9.16796875" style="51"/>
  </cols>
  <sheetData>
    <row r="1" spans="1:4" ht="13.5" customHeight="1" x14ac:dyDescent="0.15">
      <c r="A1" s="101" t="str">
        <f>CONCATENATE("Grand Prix ",DB!B1)</f>
        <v>Grand Prix 2026</v>
      </c>
      <c r="B1" s="101"/>
      <c r="C1" s="101"/>
      <c r="D1" s="101"/>
    </row>
    <row r="2" spans="1:4" ht="13.5" customHeight="1" thickBot="1" x14ac:dyDescent="0.2">
      <c r="A2" s="101"/>
      <c r="B2" s="101"/>
      <c r="C2" s="101"/>
      <c r="D2" s="101"/>
    </row>
    <row r="3" spans="1:4" ht="13.5" customHeight="1" thickTop="1" x14ac:dyDescent="0.15">
      <c r="A3" s="95" t="str">
        <f>DB!D3</f>
        <v>Finalen</v>
      </c>
      <c r="B3" s="96"/>
      <c r="C3" s="96"/>
      <c r="D3" s="97"/>
    </row>
    <row r="4" spans="1:4" ht="13.5" customHeight="1" thickBot="1" x14ac:dyDescent="0.2">
      <c r="A4" s="98"/>
      <c r="B4" s="99"/>
      <c r="C4" s="99"/>
      <c r="D4" s="100"/>
    </row>
    <row r="5" spans="1:4" ht="13.5" customHeight="1" thickTop="1" x14ac:dyDescent="0.15">
      <c r="A5" s="104" t="s">
        <v>9</v>
      </c>
      <c r="B5" s="106" t="str">
        <f>DB!B18</f>
        <v>Benbo (8)</v>
      </c>
      <c r="C5" s="110" t="str">
        <f>IF(B5&lt;&gt;"","-","")</f>
        <v>-</v>
      </c>
      <c r="D5" s="108" t="str">
        <f>DB!E18</f>
        <v>LPHJ (4)</v>
      </c>
    </row>
    <row r="6" spans="1:4" ht="13.5" customHeight="1" thickBot="1" x14ac:dyDescent="0.2">
      <c r="A6" s="105"/>
      <c r="B6" s="107"/>
      <c r="C6" s="111"/>
      <c r="D6" s="109"/>
    </row>
    <row r="7" spans="1:4" ht="13.5" customHeight="1" thickTop="1" thickBot="1" x14ac:dyDescent="0.2">
      <c r="A7" s="6"/>
      <c r="B7" s="6"/>
      <c r="C7" s="6"/>
      <c r="D7" s="6"/>
    </row>
    <row r="8" spans="1:4" ht="13.5" customHeight="1" thickTop="1" x14ac:dyDescent="0.15">
      <c r="A8" s="95" t="str">
        <f>DB!E4</f>
        <v>3./4. pladsen</v>
      </c>
      <c r="B8" s="96"/>
      <c r="C8" s="96"/>
      <c r="D8" s="97"/>
    </row>
    <row r="9" spans="1:4" ht="13.5" customHeight="1" thickBot="1" x14ac:dyDescent="0.2">
      <c r="A9" s="98"/>
      <c r="B9" s="99"/>
      <c r="C9" s="99"/>
      <c r="D9" s="100"/>
    </row>
    <row r="10" spans="1:4" ht="13.5" customHeight="1" thickTop="1" x14ac:dyDescent="0.15">
      <c r="A10" s="104" t="s">
        <v>10</v>
      </c>
      <c r="B10" s="106" t="str">
        <f>DB!B19</f>
        <v>Benbo (16)</v>
      </c>
      <c r="C10" s="110" t="str">
        <f>IF(B10&lt;&gt;"","-","")</f>
        <v>-</v>
      </c>
      <c r="D10" s="108" t="str">
        <f>DB!E19</f>
        <v>LPHJ (10)</v>
      </c>
    </row>
    <row r="11" spans="1:4" ht="13.5" customHeight="1" thickBot="1" x14ac:dyDescent="0.2">
      <c r="A11" s="105"/>
      <c r="B11" s="107"/>
      <c r="C11" s="111"/>
      <c r="D11" s="109"/>
    </row>
    <row r="12" spans="1:4" ht="13.5" customHeight="1" thickTop="1" x14ac:dyDescent="0.15">
      <c r="A12" s="102" t="str">
        <f>DB!H4</f>
        <v>Tallet i parentes angiver puljen, signaturen er gået videre fra.</v>
      </c>
      <c r="B12" s="102"/>
      <c r="C12" s="102"/>
      <c r="D12" s="102"/>
    </row>
    <row r="13" spans="1:4" ht="13.5" customHeight="1" x14ac:dyDescent="0.15">
      <c r="A13" s="103"/>
      <c r="B13" s="103"/>
      <c r="C13" s="103"/>
      <c r="D13" s="103"/>
    </row>
  </sheetData>
  <sheetProtection sheet="1" objects="1" scenarios="1"/>
  <mergeCells count="12">
    <mergeCell ref="A3:D4"/>
    <mergeCell ref="A1:D2"/>
    <mergeCell ref="A8:D9"/>
    <mergeCell ref="A12:D13"/>
    <mergeCell ref="A5:A6"/>
    <mergeCell ref="B5:B6"/>
    <mergeCell ref="D5:D6"/>
    <mergeCell ref="C5:C6"/>
    <mergeCell ref="A10:A11"/>
    <mergeCell ref="B10:B11"/>
    <mergeCell ref="C10:C11"/>
    <mergeCell ref="D10:D11"/>
  </mergeCells>
  <phoneticPr fontId="0" type="noConversion"/>
  <pageMargins left="0.78740157480314965" right="0" top="0" bottom="0" header="0" footer="0"/>
  <pageSetup paperSize="9" orientation="landscape" horizontalDpi="4294967293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47B1D-0D42-4951-B6C6-50DB7FC6C227}">
  <dimension ref="A1:E21"/>
  <sheetViews>
    <sheetView showGridLines="0" workbookViewId="0">
      <selection activeCell="D5" sqref="D5:D17"/>
    </sheetView>
  </sheetViews>
  <sheetFormatPr defaultColWidth="9.16796875" defaultRowHeight="12.75" x14ac:dyDescent="0.15"/>
  <cols>
    <col min="1" max="1" width="3.50390625" style="4" bestFit="1" customWidth="1"/>
    <col min="2" max="2" width="17.93359375" style="12" customWidth="1"/>
    <col min="3" max="3" width="1.6171875" style="6" bestFit="1" customWidth="1"/>
    <col min="4" max="4" width="17.93359375" style="12" customWidth="1"/>
    <col min="5" max="5" width="3.50390625" style="6" customWidth="1"/>
    <col min="6" max="16384" width="9.16796875" style="12"/>
  </cols>
  <sheetData>
    <row r="1" spans="1:5" ht="13.5" customHeight="1" thickTop="1" x14ac:dyDescent="0.15">
      <c r="A1" s="95" t="str">
        <f>CONCATENATE("Kampe - ",DB!D5)</f>
        <v>Kampe - Finaler, Kamp 1</v>
      </c>
      <c r="B1" s="117"/>
      <c r="C1" s="117"/>
      <c r="D1" s="117"/>
      <c r="E1" s="118"/>
    </row>
    <row r="2" spans="1:5" ht="13.5" customHeight="1" thickBot="1" x14ac:dyDescent="0.2">
      <c r="A2" s="119"/>
      <c r="B2" s="120"/>
      <c r="C2" s="120"/>
      <c r="D2" s="120"/>
      <c r="E2" s="121"/>
    </row>
    <row r="3" spans="1:5" ht="13.5" thickTop="1" x14ac:dyDescent="0.15">
      <c r="A3" s="125"/>
      <c r="B3" s="122" t="s">
        <v>7</v>
      </c>
      <c r="C3" s="124"/>
      <c r="D3" s="122" t="s">
        <v>8</v>
      </c>
      <c r="E3" s="127"/>
    </row>
    <row r="4" spans="1:5" x14ac:dyDescent="0.15">
      <c r="A4" s="126"/>
      <c r="B4" s="123"/>
      <c r="C4" s="86"/>
      <c r="D4" s="123"/>
      <c r="E4" s="128"/>
    </row>
    <row r="5" spans="1:5" x14ac:dyDescent="0.15">
      <c r="A5" s="2" t="s">
        <v>9</v>
      </c>
      <c r="B5" s="60" t="s">
        <v>109</v>
      </c>
      <c r="C5" s="1" t="s">
        <v>0</v>
      </c>
      <c r="D5" s="60" t="s">
        <v>101</v>
      </c>
      <c r="E5" s="13"/>
    </row>
    <row r="6" spans="1:5" x14ac:dyDescent="0.15">
      <c r="A6" s="2" t="s">
        <v>10</v>
      </c>
      <c r="B6" s="60" t="s">
        <v>105</v>
      </c>
      <c r="C6" s="1" t="s">
        <v>0</v>
      </c>
      <c r="D6" s="60" t="s">
        <v>103</v>
      </c>
      <c r="E6" s="13"/>
    </row>
    <row r="7" spans="1:5" x14ac:dyDescent="0.15">
      <c r="A7" s="14" t="s">
        <v>11</v>
      </c>
      <c r="B7" s="15" t="s">
        <v>100</v>
      </c>
      <c r="C7" s="16" t="s">
        <v>0</v>
      </c>
      <c r="D7" s="15" t="s">
        <v>118</v>
      </c>
      <c r="E7" s="17"/>
    </row>
    <row r="8" spans="1:5" x14ac:dyDescent="0.15">
      <c r="A8" s="2" t="s">
        <v>12</v>
      </c>
      <c r="B8" s="60" t="s">
        <v>110</v>
      </c>
      <c r="C8" s="1" t="s">
        <v>0</v>
      </c>
      <c r="D8" s="60" t="s">
        <v>107</v>
      </c>
      <c r="E8" s="13"/>
    </row>
    <row r="9" spans="1:5" x14ac:dyDescent="0.15">
      <c r="A9" s="2" t="s">
        <v>13</v>
      </c>
      <c r="B9" s="60" t="s">
        <v>111</v>
      </c>
      <c r="C9" s="1" t="s">
        <v>0</v>
      </c>
      <c r="D9" s="60" t="s">
        <v>119</v>
      </c>
      <c r="E9" s="13"/>
    </row>
    <row r="10" spans="1:5" x14ac:dyDescent="0.15">
      <c r="A10" s="14" t="s">
        <v>14</v>
      </c>
      <c r="B10" s="15" t="s">
        <v>112</v>
      </c>
      <c r="C10" s="16" t="s">
        <v>0</v>
      </c>
      <c r="D10" s="15" t="s">
        <v>120</v>
      </c>
      <c r="E10" s="17"/>
    </row>
    <row r="11" spans="1:5" x14ac:dyDescent="0.15">
      <c r="A11" s="2" t="s">
        <v>15</v>
      </c>
      <c r="B11" s="60" t="s">
        <v>113</v>
      </c>
      <c r="C11" s="1" t="s">
        <v>0</v>
      </c>
      <c r="D11" s="60" t="s">
        <v>121</v>
      </c>
      <c r="E11" s="13"/>
    </row>
    <row r="12" spans="1:5" x14ac:dyDescent="0.15">
      <c r="A12" s="2" t="s">
        <v>16</v>
      </c>
      <c r="B12" s="60" t="s">
        <v>106</v>
      </c>
      <c r="C12" s="1" t="s">
        <v>0</v>
      </c>
      <c r="D12" s="60" t="s">
        <v>122</v>
      </c>
      <c r="E12" s="13"/>
    </row>
    <row r="13" spans="1:5" x14ac:dyDescent="0.15">
      <c r="A13" s="14" t="s">
        <v>17</v>
      </c>
      <c r="B13" s="15" t="s">
        <v>102</v>
      </c>
      <c r="C13" s="16" t="s">
        <v>0</v>
      </c>
      <c r="D13" s="15" t="s">
        <v>104</v>
      </c>
      <c r="E13" s="17"/>
    </row>
    <row r="14" spans="1:5" x14ac:dyDescent="0.15">
      <c r="A14" s="2" t="s">
        <v>18</v>
      </c>
      <c r="B14" s="60" t="s">
        <v>114</v>
      </c>
      <c r="C14" s="1" t="s">
        <v>0</v>
      </c>
      <c r="D14" s="60" t="s">
        <v>108</v>
      </c>
      <c r="E14" s="13"/>
    </row>
    <row r="15" spans="1:5" x14ac:dyDescent="0.15">
      <c r="A15" s="2" t="s">
        <v>19</v>
      </c>
      <c r="B15" s="60" t="s">
        <v>115</v>
      </c>
      <c r="C15" s="1" t="s">
        <v>0</v>
      </c>
      <c r="D15" s="60" t="s">
        <v>123</v>
      </c>
      <c r="E15" s="13"/>
    </row>
    <row r="16" spans="1:5" x14ac:dyDescent="0.15">
      <c r="A16" s="2" t="s">
        <v>20</v>
      </c>
      <c r="B16" s="60" t="s">
        <v>116</v>
      </c>
      <c r="C16" s="1" t="s">
        <v>0</v>
      </c>
      <c r="D16" s="60" t="s">
        <v>124</v>
      </c>
      <c r="E16" s="13"/>
    </row>
    <row r="17" spans="1:5" x14ac:dyDescent="0.15">
      <c r="A17" s="2" t="s">
        <v>21</v>
      </c>
      <c r="B17" s="60" t="s">
        <v>117</v>
      </c>
      <c r="C17" s="1" t="s">
        <v>0</v>
      </c>
      <c r="D17" s="60" t="s">
        <v>125</v>
      </c>
      <c r="E17" s="13"/>
    </row>
    <row r="18" spans="1:5" ht="13.5" thickBot="1" x14ac:dyDescent="0.2">
      <c r="A18" s="18"/>
      <c r="B18" s="19"/>
      <c r="C18" s="19"/>
      <c r="D18" s="19"/>
      <c r="E18" s="20"/>
    </row>
    <row r="19" spans="1:5" ht="13.5" thickTop="1" x14ac:dyDescent="0.15">
      <c r="A19" s="112" t="s">
        <v>22</v>
      </c>
      <c r="B19" s="102"/>
      <c r="C19" s="102"/>
      <c r="D19" s="102"/>
      <c r="E19" s="113"/>
    </row>
    <row r="20" spans="1:5" ht="13.5" thickBot="1" x14ac:dyDescent="0.2">
      <c r="A20" s="114"/>
      <c r="B20" s="115"/>
      <c r="C20" s="115"/>
      <c r="D20" s="115"/>
      <c r="E20" s="116"/>
    </row>
    <row r="21" spans="1:5" ht="13.5" thickTop="1" x14ac:dyDescent="0.15"/>
  </sheetData>
  <sheetProtection sheet="1" objects="1" scenarios="1"/>
  <mergeCells count="7">
    <mergeCell ref="A19:E20"/>
    <mergeCell ref="A1:E2"/>
    <mergeCell ref="B3:B4"/>
    <mergeCell ref="D3:D4"/>
    <mergeCell ref="C3:C4"/>
    <mergeCell ref="A3:A4"/>
    <mergeCell ref="E3:E4"/>
  </mergeCells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5FE77-31ED-49BF-B96B-71D4D85882BE}">
  <sheetPr>
    <pageSetUpPr fitToPage="1"/>
  </sheetPr>
  <dimension ref="A1:H21"/>
  <sheetViews>
    <sheetView showGridLines="0" workbookViewId="0">
      <selection activeCell="D26" sqref="D26"/>
    </sheetView>
  </sheetViews>
  <sheetFormatPr defaultColWidth="9.16796875" defaultRowHeight="12.75" x14ac:dyDescent="0.15"/>
  <cols>
    <col min="1" max="1" width="3.7734375" style="22" bestFit="1" customWidth="1"/>
    <col min="2" max="2" width="14.15625" style="22" bestFit="1" customWidth="1"/>
    <col min="3" max="3" width="3.7734375" style="22" bestFit="1" customWidth="1"/>
    <col min="4" max="4" width="14.15625" style="22" customWidth="1"/>
    <col min="5" max="5" width="3.7734375" style="22" bestFit="1" customWidth="1"/>
    <col min="6" max="6" width="14.15625" style="22" customWidth="1"/>
    <col min="7" max="7" width="3.7734375" style="22" bestFit="1" customWidth="1"/>
    <col min="8" max="8" width="14.15625" style="22" customWidth="1"/>
    <col min="9" max="16384" width="9.16796875" style="22"/>
  </cols>
  <sheetData>
    <row r="1" spans="1:8" s="21" customFormat="1" x14ac:dyDescent="0.15">
      <c r="A1" s="12"/>
      <c r="B1" s="129" t="str">
        <f>DB!D6</f>
        <v>Finaler - K1</v>
      </c>
      <c r="C1" s="12"/>
      <c r="D1" s="129" t="str">
        <f>DB!D6</f>
        <v>Finaler - K1</v>
      </c>
      <c r="E1" s="12"/>
      <c r="F1" s="129" t="str">
        <f>DB!D6</f>
        <v>Finaler - K1</v>
      </c>
      <c r="G1" s="12"/>
      <c r="H1" s="129" t="str">
        <f>DB!D6</f>
        <v>Finaler - K1</v>
      </c>
    </row>
    <row r="2" spans="1:8" s="21" customFormat="1" ht="13.5" thickBot="1" x14ac:dyDescent="0.2">
      <c r="A2" s="12"/>
      <c r="B2" s="111"/>
      <c r="C2" s="12"/>
      <c r="D2" s="111"/>
      <c r="E2" s="12"/>
      <c r="F2" s="111"/>
      <c r="G2" s="12"/>
      <c r="H2" s="111"/>
    </row>
    <row r="3" spans="1:8" s="21" customFormat="1" ht="14.25" thickTop="1" thickBot="1" x14ac:dyDescent="0.2">
      <c r="A3" s="12"/>
      <c r="B3" s="3" t="str">
        <f>DGET(DB!A11:G15,"Signatur",DB!A21:A22)</f>
        <v>Benbo</v>
      </c>
      <c r="C3" s="12"/>
      <c r="D3" s="3" t="str">
        <f>DGET(DB!A11:G15,"Signatur",DB!B21:B22)</f>
        <v>LPHJ</v>
      </c>
      <c r="E3" s="12"/>
      <c r="F3" s="3" t="str">
        <f>DGET(DB!A11:G15,"Signatur",DB!C21:C22)</f>
        <v/>
      </c>
      <c r="G3" s="12"/>
      <c r="H3" s="3" t="str">
        <f>DGET(DB!A11:G15,"Signatur",DB!D21:D22)</f>
        <v/>
      </c>
    </row>
    <row r="4" spans="1:8" s="21" customFormat="1" ht="14.25" thickTop="1" thickBot="1" x14ac:dyDescent="0.2">
      <c r="A4" s="12"/>
      <c r="B4" s="3" t="str">
        <f>IF(DB!A12&lt;&gt;"",IF(DB!G12=1,"Disket",IF(DB!I12=1,"Udmeldt",IF(DB!O12="Walkover","Walkover","Status"))),"")</f>
        <v>Status</v>
      </c>
      <c r="C4" s="12"/>
      <c r="D4" s="3" t="str">
        <f>IF(DB!A13&lt;&gt;"",IF(DB!G13=1,"Disket",IF(DB!I13=1,"Udmeldt",IF(DB!O13="Walkover","Walkover","Status"))),"")</f>
        <v>Status</v>
      </c>
      <c r="E4" s="12"/>
      <c r="F4" s="3" t="str">
        <f>IF(DB!A14&lt;&gt;"",IF(DB!G14=1,"Disket",IF(DB!I14=1,"Udmeldt",IF(DB!O14="Walkover","Walkover","Status"))),"")</f>
        <v/>
      </c>
      <c r="G4" s="12"/>
      <c r="H4" s="3" t="str">
        <f>IF(DB!A15&lt;&gt;"",IF(DB!G15=1,"Disket",IF(DB!I15=1,"Udmeldt",IF(DB!O15="Walkover","Walkover","Status"))),"")</f>
        <v/>
      </c>
    </row>
    <row r="5" spans="1:8" s="21" customFormat="1" ht="14.25" thickTop="1" thickBot="1" x14ac:dyDescent="0.2">
      <c r="A5" s="12"/>
      <c r="B5" s="7"/>
      <c r="C5" s="12"/>
      <c r="D5" s="7"/>
      <c r="E5" s="12"/>
      <c r="F5" s="7"/>
      <c r="G5" s="12"/>
      <c r="H5" s="7"/>
    </row>
    <row r="6" spans="1:8" s="21" customFormat="1" ht="14.25" thickTop="1" thickBot="1" x14ac:dyDescent="0.2">
      <c r="A6" s="12"/>
      <c r="B6" s="58" t="str">
        <f>IF(B3&lt;&gt;"","Række","")</f>
        <v>Række</v>
      </c>
      <c r="C6" s="59"/>
      <c r="D6" s="58" t="str">
        <f>IF(D3&lt;&gt;"","Række","")</f>
        <v>Række</v>
      </c>
      <c r="E6" s="59"/>
      <c r="F6" s="58" t="str">
        <f>IF(F3&lt;&gt;"","Række","")</f>
        <v/>
      </c>
      <c r="G6" s="59"/>
      <c r="H6" s="58" t="str">
        <f>IF(H3&lt;&gt;"","Række","")</f>
        <v/>
      </c>
    </row>
    <row r="7" spans="1:8" s="21" customFormat="1" ht="15" thickTop="1" x14ac:dyDescent="0.15">
      <c r="A7" s="4" t="s">
        <v>9</v>
      </c>
      <c r="B7" s="61">
        <v>1</v>
      </c>
      <c r="C7" s="4" t="s">
        <v>9</v>
      </c>
      <c r="D7" s="8">
        <v>1</v>
      </c>
      <c r="E7" s="4" t="s">
        <v>9</v>
      </c>
      <c r="F7" s="61"/>
      <c r="G7" s="4" t="s">
        <v>9</v>
      </c>
      <c r="H7" s="8"/>
    </row>
    <row r="8" spans="1:8" s="21" customFormat="1" ht="14.25" x14ac:dyDescent="0.15">
      <c r="A8" s="4" t="s">
        <v>10</v>
      </c>
      <c r="B8" s="62">
        <v>1</v>
      </c>
      <c r="C8" s="4" t="s">
        <v>10</v>
      </c>
      <c r="D8" s="9">
        <v>1</v>
      </c>
      <c r="E8" s="4" t="s">
        <v>10</v>
      </c>
      <c r="F8" s="62"/>
      <c r="G8" s="4" t="s">
        <v>10</v>
      </c>
      <c r="H8" s="9"/>
    </row>
    <row r="9" spans="1:8" s="21" customFormat="1" ht="15" thickBot="1" x14ac:dyDescent="0.2">
      <c r="A9" s="4" t="s">
        <v>11</v>
      </c>
      <c r="B9" s="63">
        <v>1</v>
      </c>
      <c r="C9" s="4" t="s">
        <v>11</v>
      </c>
      <c r="D9" s="10">
        <v>1</v>
      </c>
      <c r="E9" s="4" t="s">
        <v>11</v>
      </c>
      <c r="F9" s="63"/>
      <c r="G9" s="4" t="s">
        <v>11</v>
      </c>
      <c r="H9" s="10"/>
    </row>
    <row r="10" spans="1:8" s="21" customFormat="1" ht="14.25" x14ac:dyDescent="0.15">
      <c r="A10" s="4" t="s">
        <v>12</v>
      </c>
      <c r="B10" s="64">
        <v>2</v>
      </c>
      <c r="C10" s="4" t="s">
        <v>12</v>
      </c>
      <c r="D10" s="11">
        <v>2</v>
      </c>
      <c r="E10" s="4" t="s">
        <v>12</v>
      </c>
      <c r="F10" s="64"/>
      <c r="G10" s="4" t="s">
        <v>12</v>
      </c>
      <c r="H10" s="11"/>
    </row>
    <row r="11" spans="1:8" s="21" customFormat="1" ht="14.25" x14ac:dyDescent="0.15">
      <c r="A11" s="4" t="s">
        <v>13</v>
      </c>
      <c r="B11" s="62" t="s">
        <v>126</v>
      </c>
      <c r="C11" s="4" t="s">
        <v>13</v>
      </c>
      <c r="D11" s="9">
        <v>1</v>
      </c>
      <c r="E11" s="4" t="s">
        <v>13</v>
      </c>
      <c r="F11" s="62"/>
      <c r="G11" s="4" t="s">
        <v>13</v>
      </c>
      <c r="H11" s="9"/>
    </row>
    <row r="12" spans="1:8" s="21" customFormat="1" ht="15" thickBot="1" x14ac:dyDescent="0.2">
      <c r="A12" s="4" t="s">
        <v>14</v>
      </c>
      <c r="B12" s="63">
        <v>2</v>
      </c>
      <c r="C12" s="4" t="s">
        <v>14</v>
      </c>
      <c r="D12" s="10" t="s">
        <v>126</v>
      </c>
      <c r="E12" s="4" t="s">
        <v>14</v>
      </c>
      <c r="F12" s="63"/>
      <c r="G12" s="4" t="s">
        <v>14</v>
      </c>
      <c r="H12" s="10"/>
    </row>
    <row r="13" spans="1:8" s="21" customFormat="1" ht="14.25" x14ac:dyDescent="0.15">
      <c r="A13" s="4" t="s">
        <v>15</v>
      </c>
      <c r="B13" s="64">
        <v>2</v>
      </c>
      <c r="C13" s="4" t="s">
        <v>15</v>
      </c>
      <c r="D13" s="11">
        <v>2</v>
      </c>
      <c r="E13" s="4" t="s">
        <v>15</v>
      </c>
      <c r="F13" s="64"/>
      <c r="G13" s="4" t="s">
        <v>15</v>
      </c>
      <c r="H13" s="11"/>
    </row>
    <row r="14" spans="1:8" s="21" customFormat="1" ht="14.25" x14ac:dyDescent="0.15">
      <c r="A14" s="4" t="s">
        <v>16</v>
      </c>
      <c r="B14" s="62">
        <v>1</v>
      </c>
      <c r="C14" s="4" t="s">
        <v>16</v>
      </c>
      <c r="D14" s="9">
        <v>1</v>
      </c>
      <c r="E14" s="4" t="s">
        <v>16</v>
      </c>
      <c r="F14" s="62"/>
      <c r="G14" s="4" t="s">
        <v>16</v>
      </c>
      <c r="H14" s="9"/>
    </row>
    <row r="15" spans="1:8" s="21" customFormat="1" ht="15" thickBot="1" x14ac:dyDescent="0.2">
      <c r="A15" s="4" t="s">
        <v>17</v>
      </c>
      <c r="B15" s="63">
        <v>2</v>
      </c>
      <c r="C15" s="4" t="s">
        <v>17</v>
      </c>
      <c r="D15" s="10">
        <v>2</v>
      </c>
      <c r="E15" s="4" t="s">
        <v>17</v>
      </c>
      <c r="F15" s="63"/>
      <c r="G15" s="4" t="s">
        <v>17</v>
      </c>
      <c r="H15" s="10"/>
    </row>
    <row r="16" spans="1:8" s="21" customFormat="1" ht="14.25" x14ac:dyDescent="0.15">
      <c r="A16" s="4" t="s">
        <v>18</v>
      </c>
      <c r="B16" s="64">
        <v>1</v>
      </c>
      <c r="C16" s="4" t="s">
        <v>18</v>
      </c>
      <c r="D16" s="11">
        <v>1</v>
      </c>
      <c r="E16" s="4" t="s">
        <v>18</v>
      </c>
      <c r="F16" s="64"/>
      <c r="G16" s="4" t="s">
        <v>18</v>
      </c>
      <c r="H16" s="11"/>
    </row>
    <row r="17" spans="1:8" s="21" customFormat="1" ht="14.25" x14ac:dyDescent="0.15">
      <c r="A17" s="4" t="s">
        <v>19</v>
      </c>
      <c r="B17" s="62">
        <v>1</v>
      </c>
      <c r="C17" s="4" t="s">
        <v>19</v>
      </c>
      <c r="D17" s="9">
        <v>1</v>
      </c>
      <c r="E17" s="4" t="s">
        <v>19</v>
      </c>
      <c r="F17" s="62"/>
      <c r="G17" s="4" t="s">
        <v>19</v>
      </c>
      <c r="H17" s="9"/>
    </row>
    <row r="18" spans="1:8" s="21" customFormat="1" ht="14.25" x14ac:dyDescent="0.15">
      <c r="A18" s="4" t="s">
        <v>20</v>
      </c>
      <c r="B18" s="62">
        <v>1</v>
      </c>
      <c r="C18" s="4" t="s">
        <v>20</v>
      </c>
      <c r="D18" s="9">
        <v>1</v>
      </c>
      <c r="E18" s="4" t="s">
        <v>20</v>
      </c>
      <c r="F18" s="62"/>
      <c r="G18" s="4" t="s">
        <v>20</v>
      </c>
      <c r="H18" s="9"/>
    </row>
    <row r="19" spans="1:8" s="21" customFormat="1" ht="15" thickBot="1" x14ac:dyDescent="0.2">
      <c r="A19" s="4" t="s">
        <v>21</v>
      </c>
      <c r="B19" s="65">
        <v>1</v>
      </c>
      <c r="C19" s="4" t="s">
        <v>21</v>
      </c>
      <c r="D19" s="11">
        <v>1</v>
      </c>
      <c r="E19" s="4" t="s">
        <v>21</v>
      </c>
      <c r="F19" s="65"/>
      <c r="G19" s="4" t="s">
        <v>21</v>
      </c>
      <c r="H19" s="11"/>
    </row>
    <row r="20" spans="1:8" s="21" customFormat="1" ht="14.25" thickTop="1" thickBot="1" x14ac:dyDescent="0.2">
      <c r="A20" s="5"/>
      <c r="B20" s="3" t="str">
        <f>DB!A8</f>
        <v>OK</v>
      </c>
      <c r="C20" s="5"/>
      <c r="D20" s="3" t="str">
        <f>DB!B8</f>
        <v>OK</v>
      </c>
      <c r="E20" s="5"/>
      <c r="F20" s="3" t="str">
        <f>DB!C8</f>
        <v/>
      </c>
      <c r="G20" s="5"/>
      <c r="H20" s="3" t="str">
        <f>DB!D8</f>
        <v/>
      </c>
    </row>
    <row r="21" spans="1:8" ht="13.5" thickTop="1" x14ac:dyDescent="0.15"/>
  </sheetData>
  <sheetProtection sheet="1" objects="1" scenarios="1"/>
  <mergeCells count="4">
    <mergeCell ref="B1:B2"/>
    <mergeCell ref="D1:D2"/>
    <mergeCell ref="F1:F2"/>
    <mergeCell ref="H1:H2"/>
  </mergeCells>
  <phoneticPr fontId="0" type="noConversion"/>
  <printOptions horizontalCentered="1" verticalCentered="1"/>
  <pageMargins left="0.39370078740157483" right="0" top="0" bottom="0" header="0" footer="0"/>
  <pageSetup paperSize="9" scale="49" orientation="landscape" horizontalDpi="4294967293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3E085-596E-401E-842F-C175322E1D69}">
  <sheetPr>
    <pageSetUpPr fitToPage="1"/>
  </sheetPr>
  <dimension ref="A1:BC77"/>
  <sheetViews>
    <sheetView showGridLines="0" zoomScale="73" workbookViewId="0">
      <selection activeCell="E7" sqref="E7"/>
    </sheetView>
  </sheetViews>
  <sheetFormatPr defaultColWidth="9.16796875" defaultRowHeight="12.75" x14ac:dyDescent="0.15"/>
  <cols>
    <col min="1" max="1" width="1.75" style="47" customWidth="1"/>
    <col min="2" max="2" width="3.1015625" style="47" customWidth="1"/>
    <col min="3" max="3" width="35.87109375" style="47" customWidth="1"/>
    <col min="4" max="4" width="1.75" style="47" customWidth="1"/>
    <col min="5" max="5" width="4.3125" style="47" bestFit="1" customWidth="1"/>
    <col min="6" max="53" width="2.96484375" style="47" customWidth="1"/>
    <col min="54" max="16384" width="9.16796875" style="47"/>
  </cols>
  <sheetData>
    <row r="1" spans="1:55" ht="16.350000000000001" customHeight="1" x14ac:dyDescent="0.15">
      <c r="A1" s="83" t="str">
        <f>CONCATENATE("Grand Prix ",DB!B1)</f>
        <v>Grand Prix 2026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5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</row>
    <row r="2" spans="1:55" ht="16.350000000000001" customHeight="1" x14ac:dyDescent="0.15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</row>
    <row r="3" spans="1:55" ht="16.350000000000001" customHeight="1" thickBot="1" x14ac:dyDescent="0.2">
      <c r="A3" s="84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</row>
    <row r="4" spans="1:55" ht="75.75" customHeight="1" thickTop="1" x14ac:dyDescent="0.15">
      <c r="A4" s="89" t="str">
        <f>IF(F4&lt;&gt;"",DB!D5,"")</f>
        <v>Finaler, Kamp 1</v>
      </c>
      <c r="B4" s="90"/>
      <c r="C4" s="90"/>
      <c r="D4" s="91"/>
      <c r="E4" s="71" t="str">
        <f>IF(F4&lt;&gt;"","De 13 rigtige","")</f>
        <v>De 13 rigtige</v>
      </c>
      <c r="F4" s="69" t="str">
        <f>Rækker!B3</f>
        <v>Benbo</v>
      </c>
      <c r="G4" s="70"/>
      <c r="H4" s="71"/>
      <c r="I4" s="69" t="str">
        <f>Rækker!D3</f>
        <v>LPHJ</v>
      </c>
      <c r="J4" s="70"/>
      <c r="K4" s="71"/>
      <c r="L4" s="69" t="str">
        <f>Rækker!F3</f>
        <v/>
      </c>
      <c r="M4" s="70"/>
      <c r="N4" s="71"/>
      <c r="O4" s="69" t="str">
        <f>Rækker!H3</f>
        <v/>
      </c>
      <c r="P4" s="70"/>
      <c r="Q4" s="71"/>
      <c r="R4" s="87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</row>
    <row r="5" spans="1:55" ht="16.350000000000001" customHeight="1" thickBot="1" x14ac:dyDescent="0.2">
      <c r="A5" s="92"/>
      <c r="B5" s="93"/>
      <c r="C5" s="93"/>
      <c r="D5" s="94"/>
      <c r="E5" s="80"/>
      <c r="F5" s="72" t="str">
        <f>DB!O12</f>
        <v/>
      </c>
      <c r="G5" s="73"/>
      <c r="H5" s="74"/>
      <c r="I5" s="72" t="str">
        <f>DB!O13</f>
        <v/>
      </c>
      <c r="J5" s="73"/>
      <c r="K5" s="74"/>
      <c r="L5" s="72" t="str">
        <f>DB!O14</f>
        <v/>
      </c>
      <c r="M5" s="73"/>
      <c r="N5" s="74"/>
      <c r="O5" s="72" t="str">
        <f>DB!O15</f>
        <v/>
      </c>
      <c r="P5" s="73"/>
      <c r="Q5" s="74"/>
      <c r="R5" s="88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</row>
    <row r="6" spans="1:55" ht="16.350000000000001" customHeight="1" thickTop="1" thickBot="1" x14ac:dyDescent="0.2">
      <c r="A6" s="77"/>
      <c r="B6" s="78"/>
      <c r="C6" s="78"/>
      <c r="D6" s="79"/>
      <c r="E6" s="49" t="s">
        <v>27</v>
      </c>
      <c r="F6" s="30">
        <v>1</v>
      </c>
      <c r="G6" s="31" t="s">
        <v>1</v>
      </c>
      <c r="H6" s="29">
        <v>2</v>
      </c>
      <c r="I6" s="30">
        <v>1</v>
      </c>
      <c r="J6" s="31" t="s">
        <v>1</v>
      </c>
      <c r="K6" s="29">
        <v>2</v>
      </c>
      <c r="L6" s="30">
        <v>1</v>
      </c>
      <c r="M6" s="31" t="s">
        <v>1</v>
      </c>
      <c r="N6" s="29">
        <v>2</v>
      </c>
      <c r="O6" s="30">
        <v>1</v>
      </c>
      <c r="P6" s="31" t="s">
        <v>1</v>
      </c>
      <c r="Q6" s="29">
        <v>2</v>
      </c>
      <c r="R6" s="81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</row>
    <row r="7" spans="1:55" ht="16.350000000000001" customHeight="1" thickTop="1" x14ac:dyDescent="0.15">
      <c r="A7" s="32"/>
      <c r="B7" s="33" t="str">
        <f>IF(F4&lt;&gt;"","1.","")</f>
        <v>1.</v>
      </c>
      <c r="C7" s="34" t="str">
        <f>IF(F4&lt;&gt;"",CONCATENATE(Kampe!B5," - ",Kampe!D5,"........................................................................................................."),"")</f>
        <v>Arsenal - Hull.........................................................................................................</v>
      </c>
      <c r="D7" s="35" t="s">
        <v>26</v>
      </c>
      <c r="E7" s="25"/>
      <c r="F7" s="27">
        <f>IF(Rækker!B7=1,1,"")</f>
        <v>1</v>
      </c>
      <c r="G7" s="36" t="str">
        <f>IF(Rækker!B7="X","X","")</f>
        <v/>
      </c>
      <c r="H7" s="28" t="str">
        <f>IF(Rækker!B7=2,2,"")</f>
        <v/>
      </c>
      <c r="I7" s="27">
        <f>IF(Rækker!D7=1,1,"")</f>
        <v>1</v>
      </c>
      <c r="J7" s="36" t="str">
        <f>IF(Rækker!D7="X","X","")</f>
        <v/>
      </c>
      <c r="K7" s="28" t="str">
        <f>IF(Rækker!D7=2,2,"")</f>
        <v/>
      </c>
      <c r="L7" s="27" t="str">
        <f>IF(Rækker!F7=1,1,"")</f>
        <v/>
      </c>
      <c r="M7" s="36" t="str">
        <f>IF(Rækker!F7="X","X","")</f>
        <v/>
      </c>
      <c r="N7" s="28" t="str">
        <f>IF(Rækker!F7=2,2,"")</f>
        <v/>
      </c>
      <c r="O7" s="27" t="str">
        <f>IF(Rækker!H7=1,1,"")</f>
        <v/>
      </c>
      <c r="P7" s="36" t="str">
        <f>IF(Rækker!H7="X","X","")</f>
        <v/>
      </c>
      <c r="Q7" s="28" t="str">
        <f>IF(Rækker!H7=2,2,"")</f>
        <v/>
      </c>
      <c r="R7" s="81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C7" s="48" t="s">
        <v>26</v>
      </c>
    </row>
    <row r="8" spans="1:55" ht="16.350000000000001" customHeight="1" x14ac:dyDescent="0.15">
      <c r="A8" s="32"/>
      <c r="B8" s="33" t="str">
        <f>IF(F4&lt;&gt;"","2.","")</f>
        <v>2.</v>
      </c>
      <c r="C8" s="34" t="str">
        <f>IF(F4&lt;&gt;"",CONCATENATE(Kampe!B6," - ",Kampe!D6,"........................................................................................................."),"")</f>
        <v>Fulham - Newcastle.........................................................................................................</v>
      </c>
      <c r="D8" s="35" t="s">
        <v>26</v>
      </c>
      <c r="E8" s="23"/>
      <c r="F8" s="37">
        <f>IF(Rækker!B8=1,1,"")</f>
        <v>1</v>
      </c>
      <c r="G8" s="38" t="str">
        <f>IF(Rækker!B8="X","X","")</f>
        <v/>
      </c>
      <c r="H8" s="39" t="str">
        <f>IF(Rækker!B8=2,2,"")</f>
        <v/>
      </c>
      <c r="I8" s="37">
        <f>IF(Rækker!D8=1,1,"")</f>
        <v>1</v>
      </c>
      <c r="J8" s="38" t="str">
        <f>IF(Rækker!D8="X","X","")</f>
        <v/>
      </c>
      <c r="K8" s="39" t="str">
        <f>IF(Rækker!D8=2,2,"")</f>
        <v/>
      </c>
      <c r="L8" s="37" t="str">
        <f>IF(Rækker!F8=1,1,"")</f>
        <v/>
      </c>
      <c r="M8" s="38" t="str">
        <f>IF(Rækker!F8="X","X","")</f>
        <v/>
      </c>
      <c r="N8" s="39" t="str">
        <f>IF(Rækker!F8=2,2,"")</f>
        <v/>
      </c>
      <c r="O8" s="37" t="str">
        <f>IF(Rækker!H8=1,1,"")</f>
        <v/>
      </c>
      <c r="P8" s="38" t="str">
        <f>IF(Rækker!H8="X","X","")</f>
        <v/>
      </c>
      <c r="Q8" s="39" t="str">
        <f>IF(Rækker!H8=2,2,"")</f>
        <v/>
      </c>
      <c r="R8" s="81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</row>
    <row r="9" spans="1:55" ht="16.350000000000001" customHeight="1" thickBot="1" x14ac:dyDescent="0.2">
      <c r="A9" s="32"/>
      <c r="B9" s="40" t="str">
        <f>IF(F4&lt;&gt;"","3.","")</f>
        <v>3.</v>
      </c>
      <c r="C9" s="41" t="str">
        <f>IF(F4&lt;&gt;"",CONCATENATE(Kampe!B7," - ",Kampe!D7,"........................................................................................................."),"")</f>
        <v>Birmingham - Swansea.........................................................................................................</v>
      </c>
      <c r="D9" s="35" t="s">
        <v>26</v>
      </c>
      <c r="E9" s="24"/>
      <c r="F9" s="42">
        <f>IF(Rækker!B9=1,1,"")</f>
        <v>1</v>
      </c>
      <c r="G9" s="43" t="str">
        <f>IF(Rækker!B9="X","X","")</f>
        <v/>
      </c>
      <c r="H9" s="44" t="str">
        <f>IF(Rækker!B9=2,2,"")</f>
        <v/>
      </c>
      <c r="I9" s="42">
        <f>IF(Rækker!D9=1,1,"")</f>
        <v>1</v>
      </c>
      <c r="J9" s="43" t="str">
        <f>IF(Rækker!D9="X","X","")</f>
        <v/>
      </c>
      <c r="K9" s="44" t="str">
        <f>IF(Rækker!D9=2,2,"")</f>
        <v/>
      </c>
      <c r="L9" s="42" t="str">
        <f>IF(Rækker!F9=1,1,"")</f>
        <v/>
      </c>
      <c r="M9" s="43" t="str">
        <f>IF(Rækker!F9="X","X","")</f>
        <v/>
      </c>
      <c r="N9" s="44" t="str">
        <f>IF(Rækker!F9=2,2,"")</f>
        <v/>
      </c>
      <c r="O9" s="42" t="str">
        <f>IF(Rækker!H9=1,1,"")</f>
        <v/>
      </c>
      <c r="P9" s="43" t="str">
        <f>IF(Rækker!H9="X","X","")</f>
        <v/>
      </c>
      <c r="Q9" s="44" t="str">
        <f>IF(Rækker!H9=2,2,"")</f>
        <v/>
      </c>
      <c r="R9" s="81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</row>
    <row r="10" spans="1:55" ht="16.350000000000001" customHeight="1" x14ac:dyDescent="0.15">
      <c r="A10" s="32"/>
      <c r="B10" s="33" t="str">
        <f>IF(F4&lt;&gt;"","4.","")</f>
        <v>4.</v>
      </c>
      <c r="C10" s="34" t="str">
        <f>IF(F4&lt;&gt;"",CONCATENATE(Kampe!B8," - ",Kampe!D8,"........................................................................................................."),"")</f>
        <v>Blackburn - West Ham.........................................................................................................</v>
      </c>
      <c r="D10" s="35" t="s">
        <v>26</v>
      </c>
      <c r="E10" s="25"/>
      <c r="F10" s="45" t="str">
        <f>IF(Rækker!B10=1,1,"")</f>
        <v/>
      </c>
      <c r="G10" s="36" t="str">
        <f>IF(Rækker!B10="X","X","")</f>
        <v/>
      </c>
      <c r="H10" s="28">
        <f>IF(Rækker!B10=2,2,"")</f>
        <v>2</v>
      </c>
      <c r="I10" s="27" t="str">
        <f>IF(Rækker!D10=1,1,"")</f>
        <v/>
      </c>
      <c r="J10" s="36" t="str">
        <f>IF(Rækker!D10="X","X","")</f>
        <v/>
      </c>
      <c r="K10" s="28">
        <f>IF(Rækker!D10=2,2,"")</f>
        <v>2</v>
      </c>
      <c r="L10" s="27" t="str">
        <f>IF(Rækker!F10=1,1,"")</f>
        <v/>
      </c>
      <c r="M10" s="36" t="str">
        <f>IF(Rækker!F10="X","X","")</f>
        <v/>
      </c>
      <c r="N10" s="28" t="str">
        <f>IF(Rækker!F10=2,2,"")</f>
        <v/>
      </c>
      <c r="O10" s="27" t="str">
        <f>IF(Rækker!H10=1,1,"")</f>
        <v/>
      </c>
      <c r="P10" s="36" t="str">
        <f>IF(Rækker!H10="X","X","")</f>
        <v/>
      </c>
      <c r="Q10" s="28" t="str">
        <f>IF(Rækker!H10=2,2,"")</f>
        <v/>
      </c>
      <c r="R10" s="81" t="s">
        <v>6</v>
      </c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</row>
    <row r="11" spans="1:55" ht="16.350000000000001" customHeight="1" x14ac:dyDescent="0.15">
      <c r="A11" s="32"/>
      <c r="B11" s="33" t="str">
        <f>IF(F4&lt;&gt;"","5.","")</f>
        <v>5.</v>
      </c>
      <c r="C11" s="34" t="str">
        <f>IF(F4&lt;&gt;"",CONCATENATE(Kampe!B9," - ",Kampe!D9,"........................................................................................................."),"")</f>
        <v>Cardiff - Burnley.........................................................................................................</v>
      </c>
      <c r="D11" s="35" t="s">
        <v>26</v>
      </c>
      <c r="E11" s="23"/>
      <c r="F11" s="37" t="str">
        <f>IF(Rækker!B11=1,1,"")</f>
        <v/>
      </c>
      <c r="G11" s="38" t="str">
        <f>IF(Rækker!B11="X","X","")</f>
        <v>X</v>
      </c>
      <c r="H11" s="39" t="str">
        <f>IF(Rækker!B11=2,2,"")</f>
        <v/>
      </c>
      <c r="I11" s="37">
        <f>IF(Rækker!D11=1,1,"")</f>
        <v>1</v>
      </c>
      <c r="J11" s="38" t="str">
        <f>IF(Rækker!D11="X","X","")</f>
        <v/>
      </c>
      <c r="K11" s="39" t="str">
        <f>IF(Rækker!D11=2,2,"")</f>
        <v/>
      </c>
      <c r="L11" s="37" t="str">
        <f>IF(Rækker!F11=1,1,"")</f>
        <v/>
      </c>
      <c r="M11" s="38" t="str">
        <f>IF(Rækker!F11="X","X","")</f>
        <v/>
      </c>
      <c r="N11" s="39" t="str">
        <f>IF(Rækker!F11=2,2,"")</f>
        <v/>
      </c>
      <c r="O11" s="37" t="str">
        <f>IF(Rækker!H11=1,1,"")</f>
        <v/>
      </c>
      <c r="P11" s="38" t="str">
        <f>IF(Rækker!H11="X","X","")</f>
        <v/>
      </c>
      <c r="Q11" s="39" t="str">
        <f>IF(Rækker!H11=2,2,"")</f>
        <v/>
      </c>
      <c r="R11" s="81" t="s">
        <v>28</v>
      </c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</row>
    <row r="12" spans="1:55" ht="16.350000000000001" customHeight="1" thickBot="1" x14ac:dyDescent="0.2">
      <c r="A12" s="32"/>
      <c r="B12" s="40" t="str">
        <f>IF(F4&lt;&gt;"","6.","")</f>
        <v>6.</v>
      </c>
      <c r="C12" s="41" t="str">
        <f>IF(F4&lt;&gt;"",CONCATENATE(Kampe!B10," - ",Kampe!D10,"........................................................................................................."),"")</f>
        <v>Charlton - Sheffield U.........................................................................................................</v>
      </c>
      <c r="D12" s="35" t="s">
        <v>26</v>
      </c>
      <c r="E12" s="24"/>
      <c r="F12" s="42" t="str">
        <f>IF(Rækker!B12=1,1,"")</f>
        <v/>
      </c>
      <c r="G12" s="43" t="str">
        <f>IF(Rækker!B12="X","X","")</f>
        <v/>
      </c>
      <c r="H12" s="44">
        <f>IF(Rækker!B12=2,2,"")</f>
        <v>2</v>
      </c>
      <c r="I12" s="42" t="str">
        <f>IF(Rækker!D12=1,1,"")</f>
        <v/>
      </c>
      <c r="J12" s="43" t="str">
        <f>IF(Rækker!D12="X","X","")</f>
        <v>X</v>
      </c>
      <c r="K12" s="44" t="str">
        <f>IF(Rækker!D12=2,2,"")</f>
        <v/>
      </c>
      <c r="L12" s="42" t="str">
        <f>IF(Rækker!F12=1,1,"")</f>
        <v/>
      </c>
      <c r="M12" s="43" t="str">
        <f>IF(Rækker!F12="X","X","")</f>
        <v/>
      </c>
      <c r="N12" s="44" t="str">
        <f>IF(Rækker!F12=2,2,"")</f>
        <v/>
      </c>
      <c r="O12" s="42" t="str">
        <f>IF(Rækker!H12=1,1,"")</f>
        <v/>
      </c>
      <c r="P12" s="43" t="str">
        <f>IF(Rækker!H12="X","X","")</f>
        <v/>
      </c>
      <c r="Q12" s="44" t="str">
        <f>IF(Rækker!H12=2,2,"")</f>
        <v/>
      </c>
      <c r="R12" s="81" t="s">
        <v>5</v>
      </c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</row>
    <row r="13" spans="1:55" ht="16.350000000000001" customHeight="1" x14ac:dyDescent="0.15">
      <c r="A13" s="32"/>
      <c r="B13" s="33" t="str">
        <f>IF(F4&lt;&gt;"","7.","")</f>
        <v>7.</v>
      </c>
      <c r="C13" s="34" t="str">
        <f>IF(F4&lt;&gt;"",CONCATENATE(Kampe!B11," - ",Kampe!D11,"........................................................................................................."),"")</f>
        <v>Preston - Southampton.........................................................................................................</v>
      </c>
      <c r="D13" s="35" t="s">
        <v>26</v>
      </c>
      <c r="E13" s="25"/>
      <c r="F13" s="45" t="str">
        <f>IF(Rækker!B13=1,1,"")</f>
        <v/>
      </c>
      <c r="G13" s="36" t="str">
        <f>IF(Rækker!B13="X","X","")</f>
        <v/>
      </c>
      <c r="H13" s="28">
        <f>IF(Rækker!B13=2,2,"")</f>
        <v>2</v>
      </c>
      <c r="I13" s="27" t="str">
        <f>IF(Rækker!D13=1,1,"")</f>
        <v/>
      </c>
      <c r="J13" s="36" t="str">
        <f>IF(Rækker!D13="X","X","")</f>
        <v/>
      </c>
      <c r="K13" s="28">
        <f>IF(Rækker!D13=2,2,"")</f>
        <v>2</v>
      </c>
      <c r="L13" s="27" t="str">
        <f>IF(Rækker!F13=1,1,"")</f>
        <v/>
      </c>
      <c r="M13" s="36" t="str">
        <f>IF(Rækker!F13="X","X","")</f>
        <v/>
      </c>
      <c r="N13" s="28" t="str">
        <f>IF(Rækker!F13=2,2,"")</f>
        <v/>
      </c>
      <c r="O13" s="27" t="str">
        <f>IF(Rækker!H13=1,1,"")</f>
        <v/>
      </c>
      <c r="P13" s="36" t="str">
        <f>IF(Rækker!H13="X","X","")</f>
        <v/>
      </c>
      <c r="Q13" s="28" t="str">
        <f>IF(Rækker!H13=2,2,"")</f>
        <v/>
      </c>
      <c r="R13" s="81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82"/>
      <c r="AO13" s="82"/>
      <c r="AP13" s="82"/>
      <c r="AQ13" s="82"/>
      <c r="AR13" s="82"/>
      <c r="AS13" s="82"/>
      <c r="AT13" s="82"/>
      <c r="AU13" s="82"/>
      <c r="AV13" s="82"/>
      <c r="AW13" s="82"/>
      <c r="AX13" s="82"/>
      <c r="AY13" s="82"/>
      <c r="AZ13" s="82"/>
      <c r="BA13" s="82"/>
    </row>
    <row r="14" spans="1:55" ht="16.350000000000001" customHeight="1" x14ac:dyDescent="0.15">
      <c r="A14" s="32"/>
      <c r="B14" s="33" t="str">
        <f>IF(F4&lt;&gt;"","8.","")</f>
        <v>8.</v>
      </c>
      <c r="C14" s="34" t="str">
        <f>IF(F4&lt;&gt;"",CONCATENATE(Kampe!B12," - ",Kampe!D12,"........................................................................................................."),"")</f>
        <v>Queens Park R - Lincoln.........................................................................................................</v>
      </c>
      <c r="D14" s="35" t="s">
        <v>26</v>
      </c>
      <c r="E14" s="23"/>
      <c r="F14" s="37">
        <f>IF(Rækker!B14=1,1,"")</f>
        <v>1</v>
      </c>
      <c r="G14" s="38" t="str">
        <f>IF(Rækker!B14="X","X","")</f>
        <v/>
      </c>
      <c r="H14" s="39" t="str">
        <f>IF(Rækker!B14=2,2,"")</f>
        <v/>
      </c>
      <c r="I14" s="37">
        <f>IF(Rækker!D14=1,1,"")</f>
        <v>1</v>
      </c>
      <c r="J14" s="38" t="str">
        <f>IF(Rækker!D14="X","X","")</f>
        <v/>
      </c>
      <c r="K14" s="39" t="str">
        <f>IF(Rækker!D14=2,2,"")</f>
        <v/>
      </c>
      <c r="L14" s="37" t="str">
        <f>IF(Rækker!F14=1,1,"")</f>
        <v/>
      </c>
      <c r="M14" s="38" t="str">
        <f>IF(Rækker!F14="X","X","")</f>
        <v/>
      </c>
      <c r="N14" s="39" t="str">
        <f>IF(Rækker!F14=2,2,"")</f>
        <v/>
      </c>
      <c r="O14" s="37" t="str">
        <f>IF(Rækker!H14=1,1,"")</f>
        <v/>
      </c>
      <c r="P14" s="38" t="str">
        <f>IF(Rækker!H14="X","X","")</f>
        <v/>
      </c>
      <c r="Q14" s="39" t="str">
        <f>IF(Rækker!H14=2,2,"")</f>
        <v/>
      </c>
      <c r="R14" s="81" t="str">
        <f>DB!H1</f>
        <v>Grand Prix-række afgives til Bjarne Villadsen</v>
      </c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</row>
    <row r="15" spans="1:55" ht="16.350000000000001" customHeight="1" thickBot="1" x14ac:dyDescent="0.2">
      <c r="A15" s="32"/>
      <c r="B15" s="40" t="str">
        <f>IF(F4&lt;&gt;"","9.","")</f>
        <v>9.</v>
      </c>
      <c r="C15" s="41" t="str">
        <f>IF(F4&lt;&gt;"",CONCATENATE(Kampe!B13," - ",Kampe!D13,"........................................................................................................."),"")</f>
        <v>Watford - Middlesbrough.........................................................................................................</v>
      </c>
      <c r="D15" s="35" t="s">
        <v>26</v>
      </c>
      <c r="E15" s="24"/>
      <c r="F15" s="42" t="str">
        <f>IF(Rækker!B15=1,1,"")</f>
        <v/>
      </c>
      <c r="G15" s="43" t="str">
        <f>IF(Rækker!B15="X","X","")</f>
        <v/>
      </c>
      <c r="H15" s="44">
        <f>IF(Rækker!B15=2,2,"")</f>
        <v>2</v>
      </c>
      <c r="I15" s="42" t="str">
        <f>IF(Rækker!D15=1,1,"")</f>
        <v/>
      </c>
      <c r="J15" s="43" t="str">
        <f>IF(Rækker!D15="X","X","")</f>
        <v/>
      </c>
      <c r="K15" s="44">
        <f>IF(Rækker!D15=2,2,"")</f>
        <v>2</v>
      </c>
      <c r="L15" s="42" t="str">
        <f>IF(Rækker!F15=1,1,"")</f>
        <v/>
      </c>
      <c r="M15" s="43" t="str">
        <f>IF(Rækker!F15="X","X","")</f>
        <v/>
      </c>
      <c r="N15" s="44" t="str">
        <f>IF(Rækker!F15=2,2,"")</f>
        <v/>
      </c>
      <c r="O15" s="42" t="str">
        <f>IF(Rækker!H15=1,1,"")</f>
        <v/>
      </c>
      <c r="P15" s="43" t="str">
        <f>IF(Rækker!H15="X","X","")</f>
        <v/>
      </c>
      <c r="Q15" s="44" t="str">
        <f>IF(Rækker!H15=2,2,"")</f>
        <v/>
      </c>
      <c r="R15" s="81" t="str">
        <f>DB!H2</f>
        <v>Senest Onsdag kl. 23.00 i næste kampuge</v>
      </c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82"/>
    </row>
    <row r="16" spans="1:55" ht="16.350000000000001" customHeight="1" x14ac:dyDescent="0.15">
      <c r="A16" s="32"/>
      <c r="B16" s="33" t="str">
        <f>IF(F4&lt;&gt;"","10.","")</f>
        <v>10.</v>
      </c>
      <c r="C16" s="34" t="str">
        <f>IF(F4&lt;&gt;"",CONCATENATE(Kampe!B14," - ",Kampe!D14,"........................................................................................................."),"")</f>
        <v>West Bromwich - Millwall.........................................................................................................</v>
      </c>
      <c r="D16" s="35" t="s">
        <v>26</v>
      </c>
      <c r="E16" s="25"/>
      <c r="F16" s="45">
        <f>IF(Rækker!B16=1,1,"")</f>
        <v>1</v>
      </c>
      <c r="G16" s="36" t="str">
        <f>IF(Rækker!B16="X","X","")</f>
        <v/>
      </c>
      <c r="H16" s="28" t="str">
        <f>IF(Rækker!B16=2,2,"")</f>
        <v/>
      </c>
      <c r="I16" s="27">
        <f>IF(Rækker!D16=1,1,"")</f>
        <v>1</v>
      </c>
      <c r="J16" s="36" t="str">
        <f>IF(Rækker!D16="X","X","")</f>
        <v/>
      </c>
      <c r="K16" s="28" t="str">
        <f>IF(Rækker!D16=2,2,"")</f>
        <v/>
      </c>
      <c r="L16" s="27" t="str">
        <f>IF(Rækker!F16=1,1,"")</f>
        <v/>
      </c>
      <c r="M16" s="36" t="str">
        <f>IF(Rækker!F16="X","X","")</f>
        <v/>
      </c>
      <c r="N16" s="28" t="str">
        <f>IF(Rækker!F16=2,2,"")</f>
        <v/>
      </c>
      <c r="O16" s="27" t="str">
        <f>IF(Rækker!H16=1,1,"")</f>
        <v/>
      </c>
      <c r="P16" s="36" t="str">
        <f>IF(Rækker!H16="X","X","")</f>
        <v/>
      </c>
      <c r="Q16" s="28" t="str">
        <f>IF(Rækker!H16=2,2,"")</f>
        <v/>
      </c>
      <c r="R16" s="81" t="str">
        <f>DB!H3</f>
        <v>på tlf.: 20 46 98 75 eller på email: lundstipsforening@gmail</v>
      </c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82"/>
      <c r="AP16" s="82"/>
      <c r="AQ16" s="82"/>
      <c r="AR16" s="82"/>
      <c r="AS16" s="82"/>
      <c r="AT16" s="82"/>
      <c r="AU16" s="82"/>
      <c r="AV16" s="82"/>
      <c r="AW16" s="82"/>
      <c r="AX16" s="82"/>
      <c r="AY16" s="82"/>
      <c r="AZ16" s="82"/>
      <c r="BA16" s="82"/>
    </row>
    <row r="17" spans="1:53" ht="16.350000000000001" customHeight="1" x14ac:dyDescent="0.15">
      <c r="A17" s="32"/>
      <c r="B17" s="33" t="str">
        <f>IF(F4&lt;&gt;"","11.","")</f>
        <v>11.</v>
      </c>
      <c r="C17" s="34" t="str">
        <f>IF(F4&lt;&gt;"",CONCATENATE(Kampe!B15," - ",Kampe!D15,"........................................................................................................."),"")</f>
        <v>Huddersfield - Exeter.........................................................................................................</v>
      </c>
      <c r="D17" s="35" t="s">
        <v>26</v>
      </c>
      <c r="E17" s="23"/>
      <c r="F17" s="37">
        <f>IF(Rækker!B17=1,1,"")</f>
        <v>1</v>
      </c>
      <c r="G17" s="38" t="str">
        <f>IF(Rækker!B17="X","X","")</f>
        <v/>
      </c>
      <c r="H17" s="39" t="str">
        <f>IF(Rækker!B17=2,2,"")</f>
        <v/>
      </c>
      <c r="I17" s="37">
        <f>IF(Rækker!D17=1,1,"")</f>
        <v>1</v>
      </c>
      <c r="J17" s="38" t="str">
        <f>IF(Rækker!D17="X","X","")</f>
        <v/>
      </c>
      <c r="K17" s="39" t="str">
        <f>IF(Rækker!D17=2,2,"")</f>
        <v/>
      </c>
      <c r="L17" s="37" t="str">
        <f>IF(Rækker!F17=1,1,"")</f>
        <v/>
      </c>
      <c r="M17" s="38" t="str">
        <f>IF(Rækker!F17="X","X","")</f>
        <v/>
      </c>
      <c r="N17" s="39" t="str">
        <f>IF(Rækker!F17=2,2,"")</f>
        <v/>
      </c>
      <c r="O17" s="37" t="str">
        <f>IF(Rækker!H17=1,1,"")</f>
        <v/>
      </c>
      <c r="P17" s="38" t="str">
        <f>IF(Rækker!H17="X","X","")</f>
        <v/>
      </c>
      <c r="Q17" s="39" t="str">
        <f>IF(Rækker!H17=2,2,"")</f>
        <v/>
      </c>
      <c r="R17" s="81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</row>
    <row r="18" spans="1:53" ht="16.350000000000001" customHeight="1" x14ac:dyDescent="0.15">
      <c r="A18" s="32"/>
      <c r="B18" s="33" t="str">
        <f>IF(F4&lt;&gt;"","12.","")</f>
        <v>12.</v>
      </c>
      <c r="C18" s="34" t="str">
        <f>IF(F4&lt;&gt;"",CONCATENATE(Kampe!B16," - ",Kampe!D16,"........................................................................................................."),"")</f>
        <v>Luton - Forest Green.........................................................................................................</v>
      </c>
      <c r="D18" s="35" t="s">
        <v>26</v>
      </c>
      <c r="E18" s="23"/>
      <c r="F18" s="37">
        <f>IF(Rækker!B18=1,1,"")</f>
        <v>1</v>
      </c>
      <c r="G18" s="38" t="str">
        <f>IF(Rækker!B18="X","X","")</f>
        <v/>
      </c>
      <c r="H18" s="39" t="str">
        <f>IF(Rækker!B18=2,2,"")</f>
        <v/>
      </c>
      <c r="I18" s="37">
        <f>IF(Rækker!D18=1,1,"")</f>
        <v>1</v>
      </c>
      <c r="J18" s="38" t="str">
        <f>IF(Rækker!D18="X","X","")</f>
        <v/>
      </c>
      <c r="K18" s="39" t="str">
        <f>IF(Rækker!D18=2,2,"")</f>
        <v/>
      </c>
      <c r="L18" s="37" t="str">
        <f>IF(Rækker!F18=1,1,"")</f>
        <v/>
      </c>
      <c r="M18" s="38" t="str">
        <f>IF(Rækker!F18="X","X","")</f>
        <v/>
      </c>
      <c r="N18" s="39" t="str">
        <f>IF(Rækker!F18=2,2,"")</f>
        <v/>
      </c>
      <c r="O18" s="37" t="str">
        <f>IF(Rækker!H18=1,1,"")</f>
        <v/>
      </c>
      <c r="P18" s="38" t="str">
        <f>IF(Rækker!H18="X","X","")</f>
        <v/>
      </c>
      <c r="Q18" s="39" t="str">
        <f>IF(Rækker!H18=2,2,"")</f>
        <v/>
      </c>
      <c r="R18" s="81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  <c r="AS18" s="82"/>
      <c r="AT18" s="82"/>
      <c r="AU18" s="82"/>
      <c r="AV18" s="82"/>
      <c r="AW18" s="82"/>
      <c r="AX18" s="82"/>
      <c r="AY18" s="82"/>
      <c r="AZ18" s="82"/>
      <c r="BA18" s="82"/>
    </row>
    <row r="19" spans="1:53" ht="16.350000000000001" customHeight="1" thickBot="1" x14ac:dyDescent="0.2">
      <c r="A19" s="32"/>
      <c r="B19" s="33" t="str">
        <f>IF(F4&lt;&gt;"","13.","")</f>
        <v>13.</v>
      </c>
      <c r="C19" s="34" t="str">
        <f>IF(F4&lt;&gt;"",CONCATENATE(Kampe!B17," - ",Kampe!D17,"........................................................................................................."),"")</f>
        <v>Milton Keynes Dons - Swindon.........................................................................................................</v>
      </c>
      <c r="D19" s="35" t="s">
        <v>26</v>
      </c>
      <c r="E19" s="26"/>
      <c r="F19" s="45">
        <f>IF(Rækker!B19=1,1,"")</f>
        <v>1</v>
      </c>
      <c r="G19" s="36" t="str">
        <f>IF(Rækker!B19="X","X","")</f>
        <v/>
      </c>
      <c r="H19" s="28" t="str">
        <f>IF(Rækker!B19=2,2,"")</f>
        <v/>
      </c>
      <c r="I19" s="27">
        <f>IF(Rækker!D19=1,1,"")</f>
        <v>1</v>
      </c>
      <c r="J19" s="36" t="str">
        <f>IF(Rækker!D19="X","X","")</f>
        <v/>
      </c>
      <c r="K19" s="28" t="str">
        <f>IF(Rækker!D19=2,2,"")</f>
        <v/>
      </c>
      <c r="L19" s="27" t="str">
        <f>IF(Rækker!F19=1,1,"")</f>
        <v/>
      </c>
      <c r="M19" s="36" t="str">
        <f>IF(Rækker!F19="X","X","")</f>
        <v/>
      </c>
      <c r="N19" s="28" t="str">
        <f>IF(Rækker!F19=2,2,"")</f>
        <v/>
      </c>
      <c r="O19" s="27" t="str">
        <f>IF(Rækker!H19=1,1,"")</f>
        <v/>
      </c>
      <c r="P19" s="36" t="str">
        <f>IF(Rækker!H19="X","X","")</f>
        <v/>
      </c>
      <c r="Q19" s="28" t="str">
        <f>IF(Rækker!H19=2,2,"")</f>
        <v/>
      </c>
      <c r="R19" s="81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2"/>
      <c r="AV19" s="82"/>
      <c r="AW19" s="82"/>
      <c r="AX19" s="82"/>
      <c r="AY19" s="82"/>
      <c r="AZ19" s="82"/>
      <c r="BA19" s="82"/>
    </row>
    <row r="20" spans="1:53" ht="16.350000000000001" customHeight="1" thickTop="1" thickBot="1" x14ac:dyDescent="0.2">
      <c r="A20" s="75" t="str">
        <f>IF(F4&lt;&gt;"","Resultat: ","")</f>
        <v xml:space="preserve">Resultat: </v>
      </c>
      <c r="B20" s="76"/>
      <c r="C20" s="76"/>
      <c r="D20" s="76"/>
      <c r="E20" s="46"/>
      <c r="F20" s="66" t="str">
        <f>IF(DB!B6=13,IF(F4&lt;&gt;"",IF(F5&lt;&gt;"",IF(OR(LEFT(F5,3)="Res",LEFT(F5,2)="MR"),DB!AC12,""),DB!AC12),""),"")</f>
        <v/>
      </c>
      <c r="G20" s="67"/>
      <c r="H20" s="68"/>
      <c r="I20" s="66" t="str">
        <f>IF(DB!B6=13,IF(I4&lt;&gt;"",IF(I5&lt;&gt;"",IF(OR(LEFT(I5,3)="Res",LEFT(I5,2)="MR"),DB!AC13,""),DB!AC13),""),"")</f>
        <v/>
      </c>
      <c r="J20" s="67"/>
      <c r="K20" s="68"/>
      <c r="L20" s="66" t="str">
        <f>IF(DB!B6=13,IF(L4&lt;&gt;"",IF(L5&lt;&gt;"",IF(OR(LEFT(L5,3)="Res",LEFT(L5,2)="MR"),DB!AC14,""),DB!AC14),""),"")</f>
        <v/>
      </c>
      <c r="M20" s="67"/>
      <c r="N20" s="68"/>
      <c r="O20" s="66" t="str">
        <f>IF(DB!B6=13,IF(O4&lt;&gt;"",IF(O5&lt;&gt;"",IF(OR(LEFT(O5,3)="Res",LEFT(O5,2)="MR"),DB!AC15,""),DB!AC15),""),"")</f>
        <v/>
      </c>
      <c r="P20" s="67"/>
      <c r="Q20" s="68"/>
      <c r="R20" s="81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82"/>
      <c r="AU20" s="82"/>
      <c r="AV20" s="82"/>
      <c r="AW20" s="82"/>
      <c r="AX20" s="82"/>
      <c r="AY20" s="82"/>
      <c r="AZ20" s="82"/>
      <c r="BA20" s="82"/>
    </row>
    <row r="21" spans="1:53" ht="16.350000000000001" customHeight="1" thickTop="1" x14ac:dyDescent="0.15">
      <c r="A21" s="57"/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</row>
    <row r="22" spans="1:53" ht="16.350000000000001" customHeight="1" x14ac:dyDescent="0.15">
      <c r="A22" s="53"/>
      <c r="B22" s="53"/>
      <c r="C22" s="53"/>
      <c r="D22" s="53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54"/>
      <c r="AW22" s="54"/>
      <c r="AX22" s="54"/>
      <c r="AY22" s="54"/>
      <c r="AZ22" s="54"/>
      <c r="BA22" s="54"/>
    </row>
    <row r="23" spans="1:53" ht="16.350000000000001" customHeight="1" x14ac:dyDescent="0.15">
      <c r="A23" s="53"/>
      <c r="B23" s="53"/>
      <c r="C23" s="53"/>
      <c r="D23" s="53"/>
      <c r="E23" s="54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</row>
    <row r="24" spans="1:53" ht="16.350000000000001" customHeight="1" x14ac:dyDescent="0.15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</row>
    <row r="25" spans="1:53" ht="16.350000000000001" customHeight="1" x14ac:dyDescent="0.15">
      <c r="A25" s="53"/>
      <c r="B25" s="53"/>
      <c r="C25" s="53"/>
      <c r="D25" s="53"/>
      <c r="E25" s="55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</row>
    <row r="26" spans="1:53" ht="16.350000000000001" customHeight="1" x14ac:dyDescent="0.15">
      <c r="A26" s="53"/>
      <c r="B26" s="53"/>
      <c r="C26" s="53"/>
      <c r="D26" s="53"/>
      <c r="E26" s="55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</row>
    <row r="27" spans="1:53" ht="16.350000000000001" customHeight="1" x14ac:dyDescent="0.15">
      <c r="A27" s="53"/>
      <c r="B27" s="53"/>
      <c r="C27" s="53"/>
      <c r="D27" s="53"/>
      <c r="E27" s="55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</row>
    <row r="28" spans="1:53" ht="16.350000000000001" customHeight="1" x14ac:dyDescent="0.15">
      <c r="A28" s="53"/>
      <c r="B28" s="53"/>
      <c r="C28" s="53"/>
      <c r="D28" s="53"/>
      <c r="E28" s="55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53"/>
    </row>
    <row r="29" spans="1:53" ht="16.350000000000001" customHeight="1" x14ac:dyDescent="0.15">
      <c r="A29" s="53"/>
      <c r="B29" s="53"/>
      <c r="C29" s="53"/>
      <c r="D29" s="53"/>
      <c r="E29" s="55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</row>
    <row r="30" spans="1:53" ht="16.350000000000001" customHeight="1" x14ac:dyDescent="0.15">
      <c r="A30" s="53"/>
      <c r="B30" s="53"/>
      <c r="C30" s="53"/>
      <c r="D30" s="53"/>
      <c r="E30" s="55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</row>
    <row r="31" spans="1:53" ht="16.350000000000001" customHeight="1" x14ac:dyDescent="0.15">
      <c r="A31" s="53"/>
      <c r="B31" s="53"/>
      <c r="C31" s="53"/>
      <c r="D31" s="53"/>
      <c r="E31" s="55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</row>
    <row r="32" spans="1:53" ht="16.350000000000001" customHeight="1" x14ac:dyDescent="0.15">
      <c r="A32" s="53"/>
      <c r="B32" s="53"/>
      <c r="C32" s="53"/>
      <c r="D32" s="53"/>
      <c r="E32" s="55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</row>
    <row r="33" spans="1:53" ht="16.350000000000001" customHeight="1" x14ac:dyDescent="0.15">
      <c r="A33" s="53"/>
      <c r="B33" s="53"/>
      <c r="C33" s="53"/>
      <c r="D33" s="53"/>
      <c r="E33" s="55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</row>
    <row r="34" spans="1:53" ht="16.350000000000001" customHeight="1" x14ac:dyDescent="0.15">
      <c r="A34" s="53"/>
      <c r="B34" s="53"/>
      <c r="C34" s="53"/>
      <c r="D34" s="53"/>
      <c r="E34" s="55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</row>
    <row r="35" spans="1:53" ht="16.350000000000001" customHeight="1" x14ac:dyDescent="0.15">
      <c r="A35" s="53"/>
      <c r="B35" s="53"/>
      <c r="C35" s="53"/>
      <c r="D35" s="53"/>
      <c r="E35" s="55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</row>
    <row r="36" spans="1:53" ht="16.350000000000001" customHeight="1" x14ac:dyDescent="0.15">
      <c r="A36" s="53"/>
      <c r="B36" s="53"/>
      <c r="C36" s="53"/>
      <c r="D36" s="53"/>
      <c r="E36" s="55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</row>
    <row r="37" spans="1:53" ht="16.350000000000001" customHeight="1" x14ac:dyDescent="0.15">
      <c r="A37" s="53"/>
      <c r="B37" s="53"/>
      <c r="C37" s="53"/>
      <c r="D37" s="53"/>
      <c r="E37" s="55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</row>
    <row r="38" spans="1:53" ht="16.350000000000001" customHeight="1" x14ac:dyDescent="0.15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</row>
    <row r="39" spans="1:53" ht="16.350000000000001" customHeight="1" x14ac:dyDescent="0.15">
      <c r="A39" s="53"/>
      <c r="B39" s="53"/>
      <c r="C39" s="53"/>
      <c r="D39" s="53"/>
      <c r="E39" s="53"/>
      <c r="F39" s="54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</row>
    <row r="40" spans="1:53" ht="75.75" customHeight="1" x14ac:dyDescent="0.15">
      <c r="A40" s="53"/>
      <c r="B40" s="53"/>
      <c r="C40" s="53"/>
      <c r="D40" s="53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</row>
    <row r="41" spans="1:53" ht="16.350000000000001" customHeight="1" x14ac:dyDescent="0.15">
      <c r="A41" s="53"/>
      <c r="B41" s="53"/>
      <c r="C41" s="53"/>
      <c r="D41" s="53"/>
      <c r="E41" s="54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53"/>
      <c r="AO41" s="53"/>
      <c r="AP41" s="53"/>
      <c r="AQ41" s="53"/>
      <c r="AR41" s="53"/>
      <c r="AS41" s="53"/>
      <c r="AT41" s="53"/>
      <c r="AU41" s="53"/>
      <c r="AV41" s="53"/>
      <c r="AW41" s="53"/>
      <c r="AX41" s="53"/>
      <c r="AY41" s="53"/>
      <c r="AZ41" s="53"/>
      <c r="BA41" s="53"/>
    </row>
    <row r="42" spans="1:53" ht="16.350000000000001" customHeight="1" x14ac:dyDescent="0.15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</row>
    <row r="43" spans="1:53" ht="16.350000000000001" customHeight="1" x14ac:dyDescent="0.15">
      <c r="A43" s="53"/>
      <c r="B43" s="53"/>
      <c r="C43" s="53"/>
      <c r="D43" s="53"/>
      <c r="E43" s="55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</row>
    <row r="44" spans="1:53" ht="16.350000000000001" customHeight="1" x14ac:dyDescent="0.15">
      <c r="A44" s="53"/>
      <c r="B44" s="53"/>
      <c r="C44" s="53"/>
      <c r="D44" s="53"/>
      <c r="E44" s="55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</row>
    <row r="45" spans="1:53" ht="16.350000000000001" customHeight="1" x14ac:dyDescent="0.15">
      <c r="A45" s="53"/>
      <c r="B45" s="53"/>
      <c r="C45" s="53"/>
      <c r="D45" s="53"/>
      <c r="E45" s="55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</row>
    <row r="46" spans="1:53" ht="16.350000000000001" customHeight="1" x14ac:dyDescent="0.15">
      <c r="A46" s="53"/>
      <c r="B46" s="53"/>
      <c r="C46" s="53"/>
      <c r="D46" s="53"/>
      <c r="E46" s="55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3"/>
      <c r="AQ46" s="53"/>
      <c r="AR46" s="53"/>
      <c r="AS46" s="53"/>
      <c r="AT46" s="53"/>
      <c r="AU46" s="53"/>
      <c r="AV46" s="53"/>
      <c r="AW46" s="53"/>
      <c r="AX46" s="53"/>
      <c r="AY46" s="53"/>
      <c r="AZ46" s="53"/>
      <c r="BA46" s="53"/>
    </row>
    <row r="47" spans="1:53" ht="16.350000000000001" customHeight="1" x14ac:dyDescent="0.15">
      <c r="A47" s="53"/>
      <c r="B47" s="53"/>
      <c r="C47" s="53"/>
      <c r="D47" s="53"/>
      <c r="E47" s="55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  <c r="AP47" s="53"/>
      <c r="AQ47" s="53"/>
      <c r="AR47" s="53"/>
      <c r="AS47" s="53"/>
      <c r="AT47" s="53"/>
      <c r="AU47" s="53"/>
      <c r="AV47" s="53"/>
      <c r="AW47" s="53"/>
      <c r="AX47" s="53"/>
      <c r="AY47" s="53"/>
      <c r="AZ47" s="53"/>
      <c r="BA47" s="53"/>
    </row>
    <row r="48" spans="1:53" ht="16.350000000000001" customHeight="1" x14ac:dyDescent="0.15">
      <c r="A48" s="53"/>
      <c r="B48" s="53"/>
      <c r="C48" s="53"/>
      <c r="D48" s="53"/>
      <c r="E48" s="55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</row>
    <row r="49" spans="1:53" ht="16.350000000000001" customHeight="1" x14ac:dyDescent="0.15">
      <c r="A49" s="53"/>
      <c r="B49" s="53"/>
      <c r="C49" s="53"/>
      <c r="D49" s="53"/>
      <c r="E49" s="55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</row>
    <row r="50" spans="1:53" ht="16.350000000000001" customHeight="1" x14ac:dyDescent="0.15">
      <c r="A50" s="53"/>
      <c r="B50" s="53"/>
      <c r="C50" s="53"/>
      <c r="D50" s="53"/>
      <c r="E50" s="55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</row>
    <row r="51" spans="1:53" ht="16.350000000000001" customHeight="1" x14ac:dyDescent="0.15">
      <c r="A51" s="53"/>
      <c r="B51" s="53"/>
      <c r="C51" s="53"/>
      <c r="D51" s="53"/>
      <c r="E51" s="55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</row>
    <row r="52" spans="1:53" ht="16.350000000000001" customHeight="1" x14ac:dyDescent="0.15">
      <c r="A52" s="53"/>
      <c r="B52" s="53"/>
      <c r="C52" s="53"/>
      <c r="D52" s="53"/>
      <c r="E52" s="55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</row>
    <row r="53" spans="1:53" ht="16.350000000000001" customHeight="1" x14ac:dyDescent="0.15">
      <c r="A53" s="53"/>
      <c r="B53" s="53"/>
      <c r="C53" s="53"/>
      <c r="D53" s="53"/>
      <c r="E53" s="55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</row>
    <row r="54" spans="1:53" ht="16.350000000000001" customHeight="1" x14ac:dyDescent="0.15">
      <c r="A54" s="53"/>
      <c r="B54" s="53"/>
      <c r="C54" s="53"/>
      <c r="D54" s="53"/>
      <c r="E54" s="55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</row>
    <row r="55" spans="1:53" ht="16.350000000000001" customHeight="1" x14ac:dyDescent="0.15">
      <c r="A55" s="53"/>
      <c r="B55" s="53"/>
      <c r="C55" s="53"/>
      <c r="D55" s="53"/>
      <c r="E55" s="55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</row>
    <row r="56" spans="1:53" ht="16.350000000000001" customHeight="1" x14ac:dyDescent="0.15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</row>
    <row r="57" spans="1:53" ht="16.350000000000001" customHeight="1" x14ac:dyDescent="0.15">
      <c r="A57" s="53"/>
      <c r="B57" s="53"/>
      <c r="C57" s="53"/>
      <c r="D57" s="53"/>
      <c r="E57" s="53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</row>
    <row r="58" spans="1:53" ht="75.75" customHeight="1" x14ac:dyDescent="0.15">
      <c r="A58" s="53"/>
      <c r="B58" s="53"/>
      <c r="C58" s="53"/>
      <c r="D58" s="53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  <c r="AJ58" s="54"/>
      <c r="AK58" s="54"/>
      <c r="AL58" s="54"/>
      <c r="AM58" s="54"/>
      <c r="AN58" s="54"/>
      <c r="AO58" s="54"/>
      <c r="AP58" s="54"/>
      <c r="AQ58" s="54"/>
      <c r="AR58" s="54"/>
      <c r="AS58" s="54"/>
      <c r="AT58" s="54"/>
      <c r="AU58" s="54"/>
      <c r="AV58" s="54"/>
      <c r="AW58" s="54"/>
      <c r="AX58" s="54"/>
      <c r="AY58" s="54"/>
      <c r="AZ58" s="54"/>
      <c r="BA58" s="54"/>
    </row>
    <row r="59" spans="1:53" ht="16.350000000000001" customHeight="1" x14ac:dyDescent="0.15">
      <c r="A59" s="53"/>
      <c r="B59" s="53"/>
      <c r="C59" s="53"/>
      <c r="D59" s="53"/>
      <c r="E59" s="54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</row>
    <row r="60" spans="1:53" ht="16.350000000000001" customHeight="1" x14ac:dyDescent="0.15">
      <c r="A60" s="53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  <c r="AM60" s="53"/>
      <c r="AN60" s="53"/>
      <c r="AO60" s="53"/>
      <c r="AP60" s="53"/>
      <c r="AQ60" s="53"/>
      <c r="AR60" s="53"/>
      <c r="AS60" s="53"/>
      <c r="AT60" s="53"/>
      <c r="AU60" s="53"/>
      <c r="AV60" s="53"/>
      <c r="AW60" s="53"/>
      <c r="AX60" s="53"/>
      <c r="AY60" s="53"/>
      <c r="AZ60" s="53"/>
      <c r="BA60" s="53"/>
    </row>
    <row r="61" spans="1:53" ht="16.350000000000001" customHeight="1" x14ac:dyDescent="0.15">
      <c r="A61" s="53"/>
      <c r="B61" s="53"/>
      <c r="C61" s="53"/>
      <c r="D61" s="53"/>
      <c r="E61" s="55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53"/>
      <c r="AW61" s="53"/>
      <c r="AX61" s="53"/>
      <c r="AY61" s="53"/>
      <c r="AZ61" s="53"/>
      <c r="BA61" s="53"/>
    </row>
    <row r="62" spans="1:53" ht="16.350000000000001" customHeight="1" x14ac:dyDescent="0.15">
      <c r="A62" s="53"/>
      <c r="B62" s="53"/>
      <c r="C62" s="53"/>
      <c r="D62" s="53"/>
      <c r="E62" s="55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</row>
    <row r="63" spans="1:53" ht="16.350000000000001" customHeight="1" x14ac:dyDescent="0.15">
      <c r="A63" s="53"/>
      <c r="B63" s="53"/>
      <c r="C63" s="53"/>
      <c r="D63" s="53"/>
      <c r="E63" s="55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</row>
    <row r="64" spans="1:53" ht="16.350000000000001" customHeight="1" x14ac:dyDescent="0.15">
      <c r="A64" s="53"/>
      <c r="B64" s="53"/>
      <c r="C64" s="53"/>
      <c r="D64" s="53"/>
      <c r="E64" s="55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  <c r="AM64" s="53"/>
      <c r="AN64" s="53"/>
      <c r="AO64" s="53"/>
      <c r="AP64" s="53"/>
      <c r="AQ64" s="53"/>
      <c r="AR64" s="53"/>
      <c r="AS64" s="53"/>
      <c r="AT64" s="53"/>
      <c r="AU64" s="53"/>
      <c r="AV64" s="53"/>
      <c r="AW64" s="53"/>
      <c r="AX64" s="53"/>
      <c r="AY64" s="53"/>
      <c r="AZ64" s="53"/>
      <c r="BA64" s="53"/>
    </row>
    <row r="65" spans="1:53" ht="16.350000000000001" customHeight="1" x14ac:dyDescent="0.15">
      <c r="A65" s="53"/>
      <c r="B65" s="53"/>
      <c r="C65" s="53"/>
      <c r="D65" s="53"/>
      <c r="E65" s="55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</row>
    <row r="66" spans="1:53" ht="16.350000000000001" customHeight="1" x14ac:dyDescent="0.15">
      <c r="A66" s="53"/>
      <c r="B66" s="53"/>
      <c r="C66" s="53"/>
      <c r="D66" s="53"/>
      <c r="E66" s="55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</row>
    <row r="67" spans="1:53" ht="16.350000000000001" customHeight="1" x14ac:dyDescent="0.15">
      <c r="A67" s="53"/>
      <c r="B67" s="53"/>
      <c r="C67" s="53"/>
      <c r="D67" s="53"/>
      <c r="E67" s="55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</row>
    <row r="68" spans="1:53" ht="16.350000000000001" customHeight="1" x14ac:dyDescent="0.15">
      <c r="A68" s="53"/>
      <c r="B68" s="53"/>
      <c r="C68" s="53"/>
      <c r="D68" s="53"/>
      <c r="E68" s="55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</row>
    <row r="69" spans="1:53" ht="16.350000000000001" customHeight="1" x14ac:dyDescent="0.15">
      <c r="A69" s="53"/>
      <c r="B69" s="53"/>
      <c r="C69" s="53"/>
      <c r="D69" s="53"/>
      <c r="E69" s="55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</row>
    <row r="70" spans="1:53" ht="16.350000000000001" customHeight="1" x14ac:dyDescent="0.15">
      <c r="A70" s="53"/>
      <c r="B70" s="53"/>
      <c r="C70" s="53"/>
      <c r="D70" s="53"/>
      <c r="E70" s="55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</row>
    <row r="71" spans="1:53" ht="16.350000000000001" customHeight="1" x14ac:dyDescent="0.15">
      <c r="A71" s="53"/>
      <c r="B71" s="53"/>
      <c r="C71" s="53"/>
      <c r="D71" s="53"/>
      <c r="E71" s="55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</row>
    <row r="72" spans="1:53" ht="16.350000000000001" customHeight="1" x14ac:dyDescent="0.15">
      <c r="A72" s="53"/>
      <c r="B72" s="53"/>
      <c r="C72" s="53"/>
      <c r="D72" s="53"/>
      <c r="E72" s="55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  <c r="AM72" s="53"/>
      <c r="AN72" s="53"/>
      <c r="AO72" s="53"/>
      <c r="AP72" s="53"/>
      <c r="AQ72" s="53"/>
      <c r="AR72" s="53"/>
      <c r="AS72" s="53"/>
      <c r="AT72" s="53"/>
      <c r="AU72" s="53"/>
      <c r="AV72" s="53"/>
      <c r="AW72" s="53"/>
      <c r="AX72" s="53"/>
      <c r="AY72" s="53"/>
      <c r="AZ72" s="53"/>
      <c r="BA72" s="53"/>
    </row>
    <row r="73" spans="1:53" ht="16.350000000000001" customHeight="1" x14ac:dyDescent="0.15">
      <c r="A73" s="53"/>
      <c r="B73" s="53"/>
      <c r="C73" s="53"/>
      <c r="D73" s="53"/>
      <c r="E73" s="55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53"/>
      <c r="AS73" s="53"/>
      <c r="AT73" s="53"/>
      <c r="AU73" s="53"/>
      <c r="AV73" s="53"/>
      <c r="AW73" s="53"/>
      <c r="AX73" s="53"/>
      <c r="AY73" s="53"/>
      <c r="AZ73" s="53"/>
      <c r="BA73" s="53"/>
    </row>
    <row r="74" spans="1:53" ht="16.350000000000001" customHeight="1" x14ac:dyDescent="0.15">
      <c r="A74" s="53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</row>
    <row r="75" spans="1:53" ht="16.350000000000001" customHeight="1" x14ac:dyDescent="0.15">
      <c r="A75" s="53"/>
      <c r="B75" s="56"/>
      <c r="C75" s="56"/>
      <c r="D75" s="56"/>
      <c r="E75" s="56"/>
      <c r="F75" s="53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56"/>
      <c r="AY75" s="56"/>
      <c r="AZ75" s="56"/>
      <c r="BA75" s="56"/>
    </row>
    <row r="76" spans="1:53" ht="16.350000000000001" customHeight="1" x14ac:dyDescent="0.15">
      <c r="A76" s="56"/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  <c r="AA76" s="56"/>
      <c r="AB76" s="56"/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  <c r="AP76" s="56"/>
      <c r="AQ76" s="56"/>
      <c r="AR76" s="56"/>
      <c r="AS76" s="56"/>
      <c r="AT76" s="56"/>
      <c r="AU76" s="56"/>
      <c r="AV76" s="56"/>
      <c r="AW76" s="56"/>
      <c r="AX76" s="56"/>
      <c r="AY76" s="56"/>
      <c r="AZ76" s="56"/>
      <c r="BA76" s="56"/>
    </row>
    <row r="77" spans="1:53" ht="75.75" customHeight="1" x14ac:dyDescent="0.15">
      <c r="A77" s="56"/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6"/>
      <c r="AS77" s="56"/>
      <c r="AT77" s="56"/>
      <c r="AU77" s="56"/>
      <c r="AV77" s="56"/>
      <c r="AW77" s="56"/>
      <c r="AX77" s="56"/>
      <c r="AY77" s="56"/>
      <c r="AZ77" s="56"/>
      <c r="BA77" s="56"/>
    </row>
  </sheetData>
  <sheetProtection sheet="1" objects="1" scenarios="1"/>
  <mergeCells count="34">
    <mergeCell ref="R10:BA10"/>
    <mergeCell ref="A1:Q3"/>
    <mergeCell ref="R1:BA3"/>
    <mergeCell ref="R4:BA5"/>
    <mergeCell ref="R6:BA6"/>
    <mergeCell ref="A4:D5"/>
    <mergeCell ref="I4:K4"/>
    <mergeCell ref="I5:K5"/>
    <mergeCell ref="R19:BA19"/>
    <mergeCell ref="R20:BA20"/>
    <mergeCell ref="O4:Q4"/>
    <mergeCell ref="O5:Q5"/>
    <mergeCell ref="O20:Q20"/>
    <mergeCell ref="R15:BA15"/>
    <mergeCell ref="R16:BA16"/>
    <mergeCell ref="R17:BA17"/>
    <mergeCell ref="R18:BA18"/>
    <mergeCell ref="R11:BA11"/>
    <mergeCell ref="R12:BA12"/>
    <mergeCell ref="R13:BA13"/>
    <mergeCell ref="R14:BA14"/>
    <mergeCell ref="R7:BA7"/>
    <mergeCell ref="R8:BA8"/>
    <mergeCell ref="R9:BA9"/>
    <mergeCell ref="I20:K20"/>
    <mergeCell ref="L4:N4"/>
    <mergeCell ref="L5:N5"/>
    <mergeCell ref="L20:N20"/>
    <mergeCell ref="A20:D20"/>
    <mergeCell ref="F5:H5"/>
    <mergeCell ref="F20:H20"/>
    <mergeCell ref="A6:D6"/>
    <mergeCell ref="E4:E5"/>
    <mergeCell ref="F4:H4"/>
  </mergeCells>
  <phoneticPr fontId="0" type="noConversion"/>
  <printOptions horizontalCentered="1" verticalCentered="1"/>
  <pageMargins left="0" right="0" top="0" bottom="0" header="0" footer="0"/>
  <pageSetup paperSize="9" scale="55" orientation="portrait" horizontalDpi="4294967293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FC1F6-C322-490C-A4AB-56F3746F3C03}">
  <sheetPr>
    <pageSetUpPr fitToPage="1"/>
  </sheetPr>
  <dimension ref="A1:H15"/>
  <sheetViews>
    <sheetView showGridLines="0" tabSelected="1" zoomScale="91" workbookViewId="0">
      <selection sqref="A1:G2"/>
    </sheetView>
  </sheetViews>
  <sheetFormatPr defaultColWidth="9.16796875" defaultRowHeight="12.75" x14ac:dyDescent="0.15"/>
  <cols>
    <col min="1" max="1" width="3.7734375" style="51" bestFit="1" customWidth="1"/>
    <col min="2" max="2" width="18.33984375" style="51" customWidth="1"/>
    <col min="3" max="3" width="1.6171875" style="51" customWidth="1"/>
    <col min="4" max="4" width="18.33984375" style="51" customWidth="1"/>
    <col min="5" max="5" width="3.234375" style="51" bestFit="1" customWidth="1"/>
    <col min="6" max="6" width="1.75" style="51" bestFit="1" customWidth="1"/>
    <col min="7" max="7" width="3.234375" style="51" bestFit="1" customWidth="1"/>
    <col min="8" max="8" width="18.33984375" style="51" customWidth="1"/>
    <col min="9" max="16384" width="9.16796875" style="51"/>
  </cols>
  <sheetData>
    <row r="1" spans="1:8" ht="13.5" customHeight="1" x14ac:dyDescent="0.15">
      <c r="A1" s="101" t="str">
        <f>CONCATENATE("Grand Prix ",DB!B1)</f>
        <v>Grand Prix 2026</v>
      </c>
      <c r="B1" s="101"/>
      <c r="C1" s="101"/>
      <c r="D1" s="101"/>
      <c r="E1" s="129"/>
      <c r="F1" s="129"/>
      <c r="G1" s="129"/>
      <c r="H1" s="101"/>
    </row>
    <row r="2" spans="1:8" ht="13.5" customHeight="1" thickBot="1" x14ac:dyDescent="0.2">
      <c r="A2" s="101"/>
      <c r="B2" s="101"/>
      <c r="C2" s="101"/>
      <c r="D2" s="101"/>
      <c r="E2" s="129"/>
      <c r="F2" s="129"/>
      <c r="G2" s="129"/>
      <c r="H2" s="101"/>
    </row>
    <row r="3" spans="1:8" ht="13.5" customHeight="1" thickTop="1" x14ac:dyDescent="0.15">
      <c r="A3" s="95" t="str">
        <f>CONCATENATE(DB!D3," - Resultat, Kamp ",DB!C5)</f>
        <v>Finalen - Resultat, Kamp 1</v>
      </c>
      <c r="B3" s="96"/>
      <c r="C3" s="96"/>
      <c r="D3" s="96"/>
      <c r="E3" s="110"/>
      <c r="F3" s="110"/>
      <c r="G3" s="150"/>
      <c r="H3" s="132" t="s">
        <v>78</v>
      </c>
    </row>
    <row r="4" spans="1:8" ht="13.5" customHeight="1" thickBot="1" x14ac:dyDescent="0.2">
      <c r="A4" s="98"/>
      <c r="B4" s="99"/>
      <c r="C4" s="99"/>
      <c r="D4" s="99"/>
      <c r="E4" s="111"/>
      <c r="F4" s="111"/>
      <c r="G4" s="151"/>
      <c r="H4" s="133"/>
    </row>
    <row r="5" spans="1:8" ht="13.5" customHeight="1" thickTop="1" x14ac:dyDescent="0.15">
      <c r="A5" s="138" t="s">
        <v>9</v>
      </c>
      <c r="B5" s="140" t="str">
        <f>DB!B18</f>
        <v>Benbo (8)</v>
      </c>
      <c r="C5" s="143" t="str">
        <f>IF(B5&lt;&gt;"","-","")</f>
        <v>-</v>
      </c>
      <c r="D5" s="142" t="str">
        <f>DB!E18</f>
        <v>LPHJ (4)</v>
      </c>
      <c r="E5" s="106" t="str">
        <f>DB!L18</f>
        <v/>
      </c>
      <c r="F5" s="110" t="str">
        <f>IF(E5&lt;&gt;"","-","")</f>
        <v/>
      </c>
      <c r="G5" s="108" t="str">
        <f>DB!S18</f>
        <v/>
      </c>
      <c r="H5" s="134" t="str">
        <f>DB!V18</f>
        <v/>
      </c>
    </row>
    <row r="6" spans="1:8" ht="13.5" customHeight="1" thickBot="1" x14ac:dyDescent="0.2">
      <c r="A6" s="139"/>
      <c r="B6" s="141"/>
      <c r="C6" s="111"/>
      <c r="D6" s="141"/>
      <c r="E6" s="136"/>
      <c r="F6" s="111"/>
      <c r="G6" s="137"/>
      <c r="H6" s="135"/>
    </row>
    <row r="7" spans="1:8" ht="13.5" customHeight="1" thickTop="1" thickBot="1" x14ac:dyDescent="0.2">
      <c r="A7" s="130" t="s">
        <v>4</v>
      </c>
      <c r="B7" s="131"/>
      <c r="C7" s="131"/>
      <c r="D7" s="131"/>
      <c r="E7" s="147" t="str">
        <f>DB!F1</f>
        <v/>
      </c>
      <c r="F7" s="148"/>
      <c r="G7" s="149"/>
      <c r="H7" s="52"/>
    </row>
    <row r="8" spans="1:8" ht="13.5" customHeight="1" thickTop="1" thickBot="1" x14ac:dyDescent="0.2">
      <c r="A8" s="5"/>
      <c r="B8" s="5"/>
      <c r="C8" s="5"/>
      <c r="D8" s="5"/>
    </row>
    <row r="9" spans="1:8" ht="13.5" customHeight="1" thickTop="1" x14ac:dyDescent="0.15">
      <c r="A9" s="95" t="str">
        <f>CONCATENATE(DB!E4," - Resultat, Kamp ",DB!C5)</f>
        <v>3./4. pladsen - Resultat, Kamp 1</v>
      </c>
      <c r="B9" s="96"/>
      <c r="C9" s="96"/>
      <c r="D9" s="96"/>
      <c r="E9" s="110"/>
      <c r="F9" s="110"/>
      <c r="G9" s="150"/>
      <c r="H9" s="132" t="s">
        <v>78</v>
      </c>
    </row>
    <row r="10" spans="1:8" ht="13.5" customHeight="1" thickBot="1" x14ac:dyDescent="0.2">
      <c r="A10" s="98"/>
      <c r="B10" s="99"/>
      <c r="C10" s="99"/>
      <c r="D10" s="99"/>
      <c r="E10" s="111"/>
      <c r="F10" s="111"/>
      <c r="G10" s="151"/>
      <c r="H10" s="133"/>
    </row>
    <row r="11" spans="1:8" ht="13.5" customHeight="1" thickTop="1" x14ac:dyDescent="0.15">
      <c r="A11" s="138" t="s">
        <v>10</v>
      </c>
      <c r="B11" s="140" t="str">
        <f>DB!B19</f>
        <v>Benbo (16)</v>
      </c>
      <c r="C11" s="143" t="str">
        <f>IF(B11&lt;&gt;"","-","")</f>
        <v>-</v>
      </c>
      <c r="D11" s="142" t="str">
        <f>DB!E19</f>
        <v>LPHJ (10)</v>
      </c>
      <c r="E11" s="106" t="str">
        <f>DB!L19</f>
        <v/>
      </c>
      <c r="F11" s="110" t="str">
        <f>IF(E11&lt;&gt;"","-","")</f>
        <v/>
      </c>
      <c r="G11" s="108" t="str">
        <f>DB!S19</f>
        <v/>
      </c>
      <c r="H11" s="134" t="str">
        <f>DB!V19</f>
        <v/>
      </c>
    </row>
    <row r="12" spans="1:8" ht="13.5" customHeight="1" thickBot="1" x14ac:dyDescent="0.2">
      <c r="A12" s="139"/>
      <c r="B12" s="141"/>
      <c r="C12" s="111"/>
      <c r="D12" s="141"/>
      <c r="E12" s="136"/>
      <c r="F12" s="111"/>
      <c r="G12" s="137"/>
      <c r="H12" s="135"/>
    </row>
    <row r="13" spans="1:8" ht="13.5" customHeight="1" thickTop="1" thickBot="1" x14ac:dyDescent="0.2">
      <c r="A13" s="130" t="s">
        <v>4</v>
      </c>
      <c r="B13" s="131"/>
      <c r="C13" s="131"/>
      <c r="D13" s="131"/>
      <c r="E13" s="147" t="str">
        <f>DB!F2</f>
        <v/>
      </c>
      <c r="F13" s="148"/>
      <c r="G13" s="149"/>
      <c r="H13" s="52"/>
    </row>
    <row r="14" spans="1:8" ht="13.5" customHeight="1" thickTop="1" x14ac:dyDescent="0.15">
      <c r="A14" s="102" t="str">
        <f>DB!H5</f>
        <v>Tallet i parentes angiver puljen, signaturen er gået videre fra.</v>
      </c>
      <c r="B14" s="102"/>
      <c r="C14" s="102"/>
      <c r="D14" s="102"/>
      <c r="E14" s="144"/>
      <c r="F14" s="144"/>
      <c r="G14" s="144"/>
      <c r="H14" s="129"/>
    </row>
    <row r="15" spans="1:8" ht="13.5" customHeight="1" x14ac:dyDescent="0.15">
      <c r="A15" s="145"/>
      <c r="B15" s="145"/>
      <c r="C15" s="145"/>
      <c r="D15" s="145"/>
      <c r="E15" s="146"/>
      <c r="F15" s="146"/>
      <c r="G15" s="146"/>
      <c r="H15" s="129"/>
    </row>
  </sheetData>
  <sheetProtection sheet="1" objects="1" scenarios="1"/>
  <mergeCells count="28">
    <mergeCell ref="A9:G10"/>
    <mergeCell ref="A7:D7"/>
    <mergeCell ref="E7:G7"/>
    <mergeCell ref="A11:A12"/>
    <mergeCell ref="H1:H2"/>
    <mergeCell ref="A5:A6"/>
    <mergeCell ref="B5:B6"/>
    <mergeCell ref="D5:D6"/>
    <mergeCell ref="C5:C6"/>
    <mergeCell ref="A1:G2"/>
    <mergeCell ref="A3:G4"/>
    <mergeCell ref="E5:E6"/>
    <mergeCell ref="A13:D13"/>
    <mergeCell ref="H14:H15"/>
    <mergeCell ref="H3:H4"/>
    <mergeCell ref="H5:H6"/>
    <mergeCell ref="H9:H10"/>
    <mergeCell ref="H11:H12"/>
    <mergeCell ref="E11:E12"/>
    <mergeCell ref="F5:F6"/>
    <mergeCell ref="F11:F12"/>
    <mergeCell ref="G5:G6"/>
    <mergeCell ref="B11:B12"/>
    <mergeCell ref="C11:C12"/>
    <mergeCell ref="D11:D12"/>
    <mergeCell ref="A14:G15"/>
    <mergeCell ref="E13:G13"/>
    <mergeCell ref="G11:G12"/>
  </mergeCells>
  <phoneticPr fontId="0" type="noConversion"/>
  <pageMargins left="0.78740157480314965" right="0" top="0" bottom="0" header="0" footer="0"/>
  <pageSetup paperSize="9" orientation="landscape" horizontalDpi="4294967293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C752A-637D-429F-86FA-844AA7790FF9}">
  <dimension ref="A1:AV26"/>
  <sheetViews>
    <sheetView workbookViewId="0"/>
  </sheetViews>
  <sheetFormatPr defaultColWidth="9.16796875" defaultRowHeight="12.75" x14ac:dyDescent="0.15"/>
  <cols>
    <col min="1" max="16384" width="9.16796875" style="21"/>
  </cols>
  <sheetData>
    <row r="1" spans="1:48" x14ac:dyDescent="0.15">
      <c r="A1" s="21" t="s">
        <v>23</v>
      </c>
      <c r="B1" s="21">
        <f>[1]DB!B1</f>
        <v>2026</v>
      </c>
      <c r="E1" s="21" t="s">
        <v>31</v>
      </c>
      <c r="F1" s="21" t="str">
        <f>IF(B6=13,IF(B4=B2,IF(A18=D18,"",IF(SUM(AK12:AK15)=0,0,ROUND(SUM(AJ12:AJ15)/SUM(AK12:AK15),0))),""),"")</f>
        <v/>
      </c>
      <c r="H1" s="50" t="str">
        <f>[2]DB!H1</f>
        <v>Grand Prix-række afgives til Bjarne Villadsen</v>
      </c>
    </row>
    <row r="2" spans="1:48" x14ac:dyDescent="0.15">
      <c r="A2" s="21" t="s">
        <v>29</v>
      </c>
      <c r="B2" s="21">
        <f>[1]DB!B3</f>
        <v>29</v>
      </c>
      <c r="C2" s="21" t="s">
        <v>29</v>
      </c>
      <c r="D2" s="50" t="str">
        <f>[1]DB!D3</f>
        <v>Semifinaler</v>
      </c>
      <c r="E2" s="21" t="s">
        <v>31</v>
      </c>
      <c r="F2" s="21" t="str">
        <f>IF(B6=13,IF(B4=B2,IF(A19=D19,"",IF(SUM(AK12:AK15)=0,0,ROUND(SUM(AJ12:AJ15)/SUM(AK12:AK15),0))),""),"")</f>
        <v/>
      </c>
      <c r="H2" s="50" t="str">
        <f>[2]DB!H2</f>
        <v>Senest Onsdag kl. 23.00 i næste kampuge</v>
      </c>
    </row>
    <row r="3" spans="1:48" x14ac:dyDescent="0.15">
      <c r="A3" s="21" t="s">
        <v>30</v>
      </c>
      <c r="B3" s="21">
        <f>B2+1</f>
        <v>30</v>
      </c>
      <c r="C3" s="21" t="s">
        <v>30</v>
      </c>
      <c r="D3" s="50" t="str">
        <f>[1]DB!D4</f>
        <v>Finalen</v>
      </c>
      <c r="H3" s="50" t="str">
        <f>[2]DB!H3</f>
        <v>på tlf.: 20 46 98 75 eller på email: lundstipsforening@gmail</v>
      </c>
    </row>
    <row r="4" spans="1:48" x14ac:dyDescent="0.15">
      <c r="A4" s="21" t="s">
        <v>32</v>
      </c>
      <c r="B4" s="21">
        <f>[1]DB!B5</f>
        <v>29</v>
      </c>
      <c r="C4" s="21" t="s">
        <v>97</v>
      </c>
      <c r="D4" s="50" t="str">
        <f>D3</f>
        <v>Finalen</v>
      </c>
      <c r="E4" s="50" t="s">
        <v>99</v>
      </c>
      <c r="H4" s="50" t="str">
        <f>IF(DB!B2&lt;&gt;B4,CONCATENATE("Ingen kampresultater: ",D2," ikke færdigspillet."),"Tallet i parentes angiver puljen, signaturen er gået videre fra.")</f>
        <v>Tallet i parentes angiver puljen, signaturen er gået videre fra.</v>
      </c>
    </row>
    <row r="5" spans="1:48" x14ac:dyDescent="0.15">
      <c r="A5" s="21" t="s">
        <v>33</v>
      </c>
      <c r="B5" s="21">
        <f>IF(B2=B4,IF(B6=13,B4+1,B4),B4)</f>
        <v>29</v>
      </c>
      <c r="C5" s="21">
        <v>1</v>
      </c>
      <c r="D5" s="50" t="str">
        <f>CONCATENATE("Finaler, Kamp ",C5)</f>
        <v>Finaler, Kamp 1</v>
      </c>
      <c r="H5" s="50" t="str">
        <f>IF(DB!B2&lt;&gt;B4,CONCATENATE("Ingen kampresultater: ",D2," ikke færdigspillet."),IF(AND(U18&lt;&gt;"",U19&lt;&gt;""),CONCATENATE("Tillykke til vinderne af Grand Prix ",B1,"!"),"Tallet i parentes angiver puljen, signaturen er gået videre fra."))</f>
        <v>Tallet i parentes angiver puljen, signaturen er gået videre fra.</v>
      </c>
    </row>
    <row r="6" spans="1:48" x14ac:dyDescent="0.15">
      <c r="A6" s="21" t="s">
        <v>34</v>
      </c>
      <c r="B6" s="21">
        <f>COUNTIF(P10:AB10,1)+COUNTIF(P10:AB10,"X")+COUNTIF(P10:AB10,2)</f>
        <v>0</v>
      </c>
      <c r="D6" s="50" t="str">
        <f>CONCATENATE("Finaler - K",C5)</f>
        <v>Finaler - K1</v>
      </c>
    </row>
    <row r="8" spans="1:48" x14ac:dyDescent="0.15">
      <c r="A8" s="21" t="str">
        <f>IF(Rækker!B3="",IF(COUNTIF(Rækker!B5:B19,"")&lt;14,"FEJL",""),IF(IF(OR(Rækker!B4="Disket",Rækker!B4="Udmeldt",Rækker!B4="Walkover"),1,0)=0,IF(IF(Rækker!B5&lt;&gt;"",IF(OR(Rækker!B5="Disket",Rækker!B5="Udmeldt",Rækker!B5="MR",Rækker!B5="Res"),1,2),0)=0,IF(COUNTIF(Rækker!B7:B19,"&lt;&gt;")&lt;13,"",IF(COUNTIF(Rækker!B7:B19,1)+COUNTIF(Rækker!B7:B19,"X")+COUNTIF(Rækker!B7:B19,2)=13,"OK","FEJL")),IF(IF(Rækker!B5&lt;&gt;"",IF(OR(Rækker!B5="Disket",Rækker!B5="Udmeldt",Rækker!B5="MR",Rækker!B5="Res"),1,2),0)=1,IF(COUNTIF(Rækker!B7:B19,"&lt;&gt;")=0,"OK","FEJL"),"FEJL")),IF(AND(IF(Rækker!B5&lt;&gt;"",IF(OR(Rækker!B5="Disket",Rækker!B5="Udmeldt",Rækker!B5="MR",Rækker!B5="Res"),1,2),0)=0,COUNTIF(Rækker!B7:B19,"&lt;&gt;")=0),"OK","FEJL")))</f>
        <v>OK</v>
      </c>
      <c r="B8" s="21" t="str">
        <f>IF(Rækker!D3="",IF(COUNTIF(Rækker!D5:D19,"")&lt;14,"FEJL",""),IF(IF(OR(Rækker!D4="Disket",Rækker!D4="Udmeldt",Rækker!D4="Walkover"),1,0)=0,IF(IF(Rækker!D5&lt;&gt;"",IF(OR(Rækker!D5="Disket",Rækker!D5="Udmeldt",Rækker!D5="MR",Rækker!D5="Res"),1,2),0)=0,IF(COUNTIF(Rækker!D7:D19,"&lt;&gt;")&lt;13,"",IF(COUNTIF(Rækker!D7:D19,1)+COUNTIF(Rækker!D7:D19,"X")+COUNTIF(Rækker!D7:D19,2)=13,"OK","FEJL")),IF(IF(Rækker!D5&lt;&gt;"",IF(OR(Rækker!D5="Disket",Rækker!D5="Udmeldt",Rækker!D5="MR",Rækker!D5="Res"),1,2),0)=1,IF(COUNTIF(Rækker!D7:D19,"&lt;&gt;")=0,"OK","FEJL"),"FEJL")),IF(AND(IF(Rækker!D5&lt;&gt;"",IF(OR(Rækker!D5="Disket",Rækker!D5="Udmeldt",Rækker!D5="MR",Rækker!D5="Res"),1,2),0)=0,COUNTIF(Rækker!D7:D19,"&lt;&gt;")=0),"OK","FEJL")))</f>
        <v>OK</v>
      </c>
      <c r="C8" s="21" t="str">
        <f>IF(Rækker!F3="",IF(COUNTIF(Rækker!F5:F19,"")&lt;14,"FEJL",""),IF(IF(OR(Rækker!F4="Disket",Rækker!F4="Udmeldt",Rækker!F4="Walkover"),1,0)=0,IF(IF(Rækker!F5&lt;&gt;"",IF(OR(Rækker!F5="Disket",Rækker!F5="Udmeldt",Rækker!F5="MR",Rækker!F5="Res"),1,2),0)=0,IF(COUNTIF(Rækker!F7:F19,"&lt;&gt;")&lt;13,"",IF(COUNTIF(Rækker!F7:F19,1)+COUNTIF(Rækker!F7:F19,"X")+COUNTIF(Rækker!F7:F19,2)=13,"OK","FEJL")),IF(IF(Rækker!F5&lt;&gt;"",IF(OR(Rækker!F5="Disket",Rækker!F5="Udmeldt",Rækker!F5="MR",Rækker!F5="Res"),1,2),0)=1,IF(COUNTIF(Rækker!F7:F19,"&lt;&gt;")=0,"OK","FEJL"),"FEJL")),IF(AND(IF(Rækker!F5&lt;&gt;"",IF(OR(Rækker!F5="Disket",Rækker!F5="Udmeldt",Rækker!F5="MR",Rækker!F5="Res"),1,2),0)=0,COUNTIF(Rækker!F7:F19,"&lt;&gt;")=0),"OK","FEJL")))</f>
        <v/>
      </c>
      <c r="D8" s="21" t="str">
        <f>IF(Rækker!H3="",IF(COUNTIF(Rækker!H5:H19,"")&lt;14,"FEJL",""),IF(IF(OR(Rækker!H4="Disket",Rækker!H4="Udmeldt",Rækker!H4="Walkover"),1,0)=0,IF(IF(Rækker!H5&lt;&gt;"",IF(OR(Rækker!H5="Disket",Rækker!H5="Udmeldt",Rækker!H5="MR",Rækker!H5="Res"),1,2),0)=0,IF(COUNTIF(Rækker!H7:H19,"&lt;&gt;")&lt;13,"",IF(COUNTIF(Rækker!H7:H19,1)+COUNTIF(Rækker!H7:H19,"X")+COUNTIF(Rækker!H7:H19,2)=13,"OK","FEJL")),IF(IF(Rækker!H5&lt;&gt;"",IF(OR(Rækker!H5="Disket",Rækker!H5="Udmeldt",Rækker!H5="MR",Rækker!H5="Res"),1,2),0)=1,IF(COUNTIF(Rækker!H7:H19,"&lt;&gt;")=0,"OK","FEJL"),"FEJL")),IF(AND(IF(Rækker!H5&lt;&gt;"",IF(OR(Rækker!H5="Disket",Rækker!H5="Udmeldt",Rækker!H5="MR",Rækker!H5="Res"),1,2),0)=0,COUNTIF(Rækker!H7:H19,"&lt;&gt;")=0),"OK","FEJL")))</f>
        <v/>
      </c>
    </row>
    <row r="10" spans="1:48" x14ac:dyDescent="0.15">
      <c r="P10" s="21">
        <f>'Rækker - Udskrift'!E7</f>
        <v>0</v>
      </c>
      <c r="Q10" s="21">
        <f>'Rækker - Udskrift'!E8</f>
        <v>0</v>
      </c>
      <c r="R10" s="21">
        <f>'Rækker - Udskrift'!E9</f>
        <v>0</v>
      </c>
      <c r="S10" s="21">
        <f>'Rækker - Udskrift'!E10</f>
        <v>0</v>
      </c>
      <c r="T10" s="21">
        <f>'Rækker - Udskrift'!E11</f>
        <v>0</v>
      </c>
      <c r="U10" s="21">
        <f>'Rækker - Udskrift'!E12</f>
        <v>0</v>
      </c>
      <c r="V10" s="21">
        <f>'Rækker - Udskrift'!E13</f>
        <v>0</v>
      </c>
      <c r="W10" s="21">
        <f>'Rækker - Udskrift'!E14</f>
        <v>0</v>
      </c>
      <c r="X10" s="21">
        <f>'Rækker - Udskrift'!E15</f>
        <v>0</v>
      </c>
      <c r="Y10" s="21">
        <f>'Rækker - Udskrift'!E16</f>
        <v>0</v>
      </c>
      <c r="Z10" s="21">
        <f>'Rækker - Udskrift'!E17</f>
        <v>0</v>
      </c>
      <c r="AA10" s="21">
        <f>'Rækker - Udskrift'!E18</f>
        <v>0</v>
      </c>
      <c r="AB10" s="21">
        <f>'Rækker - Udskrift'!E19</f>
        <v>0</v>
      </c>
    </row>
    <row r="11" spans="1:48" x14ac:dyDescent="0.15">
      <c r="A11" s="21" t="s">
        <v>2</v>
      </c>
      <c r="B11" s="21" t="s">
        <v>25</v>
      </c>
      <c r="C11" s="21" t="s">
        <v>35</v>
      </c>
      <c r="D11" s="21" t="s">
        <v>70</v>
      </c>
      <c r="E11" s="21" t="s">
        <v>71</v>
      </c>
      <c r="F11" s="21" t="s">
        <v>98</v>
      </c>
      <c r="G11" s="21" t="s">
        <v>56</v>
      </c>
      <c r="H11" s="21" t="s">
        <v>57</v>
      </c>
      <c r="I11" s="21" t="s">
        <v>58</v>
      </c>
      <c r="J11" s="21" t="s">
        <v>59</v>
      </c>
      <c r="K11" s="21" t="s">
        <v>60</v>
      </c>
      <c r="L11" s="21" t="s">
        <v>61</v>
      </c>
      <c r="M11" s="21" t="s">
        <v>62</v>
      </c>
      <c r="N11" s="21" t="s">
        <v>63</v>
      </c>
      <c r="O11" s="21" t="s">
        <v>36</v>
      </c>
      <c r="P11" s="21" t="s">
        <v>37</v>
      </c>
      <c r="Q11" s="21" t="s">
        <v>38</v>
      </c>
      <c r="R11" s="21" t="s">
        <v>39</v>
      </c>
      <c r="S11" s="21" t="s">
        <v>40</v>
      </c>
      <c r="T11" s="21" t="s">
        <v>41</v>
      </c>
      <c r="U11" s="21" t="s">
        <v>42</v>
      </c>
      <c r="V11" s="21" t="s">
        <v>43</v>
      </c>
      <c r="W11" s="21" t="s">
        <v>44</v>
      </c>
      <c r="X11" s="21" t="s">
        <v>45</v>
      </c>
      <c r="Y11" s="21" t="s">
        <v>46</v>
      </c>
      <c r="Z11" s="21" t="s">
        <v>47</v>
      </c>
      <c r="AA11" s="21" t="s">
        <v>48</v>
      </c>
      <c r="AB11" s="21" t="s">
        <v>49</v>
      </c>
      <c r="AC11" s="21" t="s">
        <v>50</v>
      </c>
      <c r="AD11" s="21" t="s">
        <v>53</v>
      </c>
      <c r="AE11" s="21" t="s">
        <v>51</v>
      </c>
      <c r="AF11" s="21" t="s">
        <v>3</v>
      </c>
      <c r="AG11" s="21" t="s">
        <v>54</v>
      </c>
      <c r="AH11" s="21" t="s">
        <v>52</v>
      </c>
      <c r="AI11" s="21" t="s">
        <v>55</v>
      </c>
      <c r="AJ11" s="152" t="s">
        <v>24</v>
      </c>
      <c r="AK11" s="152"/>
      <c r="AL11" s="21" t="s">
        <v>69</v>
      </c>
      <c r="AM11" s="21" t="s">
        <v>65</v>
      </c>
      <c r="AO11" s="21" t="s">
        <v>68</v>
      </c>
      <c r="AP11" s="21" t="s">
        <v>2</v>
      </c>
      <c r="AQ11" s="21" t="s">
        <v>35</v>
      </c>
      <c r="AR11" s="21" t="s">
        <v>65</v>
      </c>
      <c r="AS11" s="21" t="s">
        <v>66</v>
      </c>
      <c r="AT11" s="21" t="s">
        <v>67</v>
      </c>
      <c r="AU11" s="21" t="s">
        <v>64</v>
      </c>
      <c r="AV11" s="21" t="s">
        <v>24</v>
      </c>
    </row>
    <row r="12" spans="1:48" x14ac:dyDescent="0.15">
      <c r="A12" s="21" t="str">
        <f>[1]DB!AS12</f>
        <v>Benbo</v>
      </c>
      <c r="B12" s="21">
        <v>1</v>
      </c>
      <c r="C12" s="21">
        <f>[1]DB!AT12</f>
        <v>2</v>
      </c>
      <c r="D12" s="21">
        <f>[1]DB!AT12</f>
        <v>2</v>
      </c>
      <c r="E12" s="21">
        <f>IF(B6=13,IF(A12&lt;&gt;"",D12-COUNTIF(U18:U19,A12)-COUNTIF(Y18:Y19,A12),0),D12)</f>
        <v>2</v>
      </c>
      <c r="F12" s="21">
        <f>[1]DB!BA12</f>
        <v>0</v>
      </c>
      <c r="G12" s="21">
        <f>[1]DB!AW12</f>
        <v>0</v>
      </c>
      <c r="H12" s="21">
        <f>IF(Rækker!B5="Disket",1,IF(L12&gt;5,1,IF(G12=1,1,0)))</f>
        <v>0</v>
      </c>
      <c r="I12" s="21">
        <f>[1]DB!AX12</f>
        <v>0</v>
      </c>
      <c r="J12" s="21">
        <f>IF(Rækker!B5="Udmeldt",1,IF(I12=1,1,0))</f>
        <v>0</v>
      </c>
      <c r="K12" s="21">
        <f>[1]DB!AY12</f>
        <v>0</v>
      </c>
      <c r="L12" s="21">
        <f>IF(Rækker!B5="MR",K12+1,K12)</f>
        <v>0</v>
      </c>
      <c r="M12" s="21">
        <f>[1]DB!AZ12</f>
        <v>1</v>
      </c>
      <c r="N12" s="21">
        <f>IF(Rækker!B5="Res",M12+1,M12)</f>
        <v>1</v>
      </c>
      <c r="O12" s="21" t="str">
        <f>IF(H12=1,"Disket",IF(J12=1,"Udmeldt",IF(AND(C12&gt;0,D12=F12),"Walkover",IF(K12&lt;&gt;L12,CONCATENATE("MR ",L12),IF(M12&lt;&gt;N12,IF(N12&gt;10,"Res 10+",CONCATENATE("Res ",N12)),"")))))</f>
        <v/>
      </c>
      <c r="P12" s="21">
        <f>IF('Rækker - Udskrift'!F7=1,1,IF('Rækker - Udskrift'!G7="X","X",IF('Rækker - Udskrift'!H7=2,2,"")))</f>
        <v>1</v>
      </c>
      <c r="Q12" s="21">
        <f>IF('Rækker - Udskrift'!F8=1,1,IF('Rækker - Udskrift'!G8="X","X",IF('Rækker - Udskrift'!H8=2,2,"")))</f>
        <v>1</v>
      </c>
      <c r="R12" s="21">
        <f>IF('Rækker - Udskrift'!F9=1,1,IF('Rækker - Udskrift'!G9="X","X",IF('Rækker - Udskrift'!H9=2,2,"")))</f>
        <v>1</v>
      </c>
      <c r="S12" s="21">
        <f>IF('Rækker - Udskrift'!F10=1,1,IF('Rækker - Udskrift'!G10="X","X",IF('Rækker - Udskrift'!H10=2,2,"")))</f>
        <v>2</v>
      </c>
      <c r="T12" s="21" t="str">
        <f>IF('Rækker - Udskrift'!F11=1,1,IF('Rækker - Udskrift'!G11="X","X",IF('Rækker - Udskrift'!H11=2,2,"")))</f>
        <v>X</v>
      </c>
      <c r="U12" s="21">
        <f>IF('Rækker - Udskrift'!F12=1,1,IF('Rækker - Udskrift'!G12="X","X",IF('Rækker - Udskrift'!H12=2,2,"")))</f>
        <v>2</v>
      </c>
      <c r="V12" s="21">
        <f>IF('Rækker - Udskrift'!F13=1,1,IF('Rækker - Udskrift'!G13="X","X",IF('Rækker - Udskrift'!H13=2,2,"")))</f>
        <v>2</v>
      </c>
      <c r="W12" s="21">
        <f>IF('Rækker - Udskrift'!F14=1,1,IF('Rækker - Udskrift'!G14="X","X",IF('Rækker - Udskrift'!H14=2,2,"")))</f>
        <v>1</v>
      </c>
      <c r="X12" s="21">
        <f>IF('Rækker - Udskrift'!F15=1,1,IF('Rækker - Udskrift'!G15="X","X",IF('Rækker - Udskrift'!H15=2,2,"")))</f>
        <v>2</v>
      </c>
      <c r="Y12" s="21">
        <f>IF('Rækker - Udskrift'!F16=1,1,IF('Rækker - Udskrift'!G16="X","X",IF('Rækker - Udskrift'!H16=2,2,"")))</f>
        <v>1</v>
      </c>
      <c r="Z12" s="21">
        <f>IF('Rækker - Udskrift'!F17=1,1,IF('Rækker - Udskrift'!G17="X","X",IF('Rækker - Udskrift'!H17=2,2,"")))</f>
        <v>1</v>
      </c>
      <c r="AA12" s="21">
        <f>IF('Rækker - Udskrift'!F18=1,1,IF('Rækker - Udskrift'!G18="X","X",IF('Rækker - Udskrift'!H18=2,2,"")))</f>
        <v>1</v>
      </c>
      <c r="AB12" s="21">
        <f>IF('Rækker - Udskrift'!F19=1,1,IF('Rækker - Udskrift'!G19="X","X",IF('Rækker - Udskrift'!H19=2,2,"")))</f>
        <v>1</v>
      </c>
      <c r="AC12" s="21">
        <f>IF(O12&lt;&gt;"",IF(LEFT(O12,3)="Res",F1,0),IF(P12=P10,1,0)+IF(Q12=Q10,1,0)+IF(R12=R10,1,0)+IF(S12=S10,1,0)+IF(T12=T10,1,0)+IF(U12=U10,1,0)+IF(V12=V10,1,0)+IF(W12=W10,1,0)+IF(X12=X10,1,0)+IF(Y12=Y10,1,0)+IF(Z12=Z10,1,0)+IF(AA12=AA10,1,0)+IF(AB12=AB10,1,0))</f>
        <v>0</v>
      </c>
      <c r="AD12" s="21">
        <f>RANK(AC12,AC12:AC15,1)</f>
        <v>1</v>
      </c>
      <c r="AE12" s="21">
        <f>IF(O12&lt;&gt;"",IF(LEFT(O12,3)="Res",AC12,0),AC12)</f>
        <v>0</v>
      </c>
      <c r="AF12" s="21">
        <f>IF(P12=P10,4096,0)+IF(Q12=Q10,2048,0)+IF(R12=R10,1024,0)+IF(S12=S10,512,0)+IF(T12=T10,256,0)+IF(U12=U10,128,0)+IF(V12=V10,64,0)+IF(W12=W10,32,0)+IF(X12=X10,16,0)+IF(Y12=Y10,8,0)+IF(Z12=Z10,4,0)+IF(AA12=AA10,2,0)+IF(AB12=AB10,1,0)</f>
        <v>0</v>
      </c>
      <c r="AG12" s="21">
        <f>RANK(AF12,AF12:AF15,1)</f>
        <v>1</v>
      </c>
      <c r="AH12" s="21">
        <f>(AD12*65)+AG12</f>
        <v>66</v>
      </c>
      <c r="AI12" s="21">
        <f>RANK(AH12,AH12:AH15,1)</f>
        <v>1</v>
      </c>
      <c r="AJ12" s="21">
        <f>IF(AND(A12&lt;&gt;"",O12=""),AC12,0)</f>
        <v>0</v>
      </c>
      <c r="AK12" s="21">
        <f>IF(AND(A12&lt;&gt;"",O12=""),1,0)</f>
        <v>1</v>
      </c>
      <c r="AL12" s="21">
        <f>E12</f>
        <v>2</v>
      </c>
      <c r="AM12" s="21">
        <f>E12</f>
        <v>2</v>
      </c>
      <c r="AN12" s="21">
        <f>IF(C12&gt;0,IF(AL12&gt;0,COUNTIF(AL12,"&gt;0"),0),0)</f>
        <v>1</v>
      </c>
      <c r="AO12" s="21">
        <f>IF(AN12&gt;0,AN12,MAX(AN12:AN15)+COUNTIF(AN12,"=0"))</f>
        <v>1</v>
      </c>
      <c r="AP12" s="21" t="str">
        <f>IF(A24&gt;MAX(AN12:AN15),"",DGET(A11:AO15,"Signatur",A23:A24))</f>
        <v>Benbo</v>
      </c>
      <c r="AQ12" s="21">
        <f>IF(A24&gt;MAX(AN12:AN15),0,DGET(A11:AO15,"Deltager E",A23:A24))</f>
        <v>2</v>
      </c>
      <c r="AR12" s="21">
        <f>IF(A24&gt;MAX(AN12:AN15),0,DGET(A11:AO15,"Kval E",A23:A24))</f>
        <v>2</v>
      </c>
      <c r="AS12" s="21">
        <f>IF(A24&gt;MAX(AN12:AN15),0,DGET(A11:AO15,"Dis E",A23:A24))</f>
        <v>0</v>
      </c>
      <c r="AT12" s="21">
        <f>IF(A24&gt;MAX(AN12:AN15),0,DGET(A11:AO15,"Udm E",A23:A24))</f>
        <v>0</v>
      </c>
      <c r="AU12" s="21">
        <f>IF(A24&gt;MAX(AN12:AN15),0,DGET(A11:AO15,"MR E",A23:A24))</f>
        <v>0</v>
      </c>
      <c r="AV12" s="21">
        <f>IF(A24&gt;MAX(AN12:AN15),0,DGET(A11:AO15,"Res E",A23:A24))</f>
        <v>1</v>
      </c>
    </row>
    <row r="13" spans="1:48" x14ac:dyDescent="0.15">
      <c r="A13" s="21" t="str">
        <f>[1]DB!AS13</f>
        <v>LPHJ</v>
      </c>
      <c r="B13" s="21">
        <v>2</v>
      </c>
      <c r="C13" s="21">
        <f>[1]DB!AT13</f>
        <v>2</v>
      </c>
      <c r="D13" s="21">
        <f>[1]DB!AT13</f>
        <v>2</v>
      </c>
      <c r="E13" s="21">
        <f>IF(B6=13,IF(A13&lt;&gt;"",D13-COUNTIF(U18:U19,A13)-COUNTIF(Y18:Y19,A13),0),D13)</f>
        <v>2</v>
      </c>
      <c r="F13" s="21">
        <f>[1]DB!BA13</f>
        <v>0</v>
      </c>
      <c r="G13" s="21">
        <f>[1]DB!AW13</f>
        <v>0</v>
      </c>
      <c r="H13" s="21">
        <f>IF(Rækker!D5="Disket",1,IF(L13&gt;5,1,IF(G13=1,1,0)))</f>
        <v>0</v>
      </c>
      <c r="I13" s="21">
        <f>[1]DB!AX13</f>
        <v>0</v>
      </c>
      <c r="J13" s="21">
        <f>IF(Rækker!D5="Udmeldt",1,IF(I13=1,1,0))</f>
        <v>0</v>
      </c>
      <c r="K13" s="21">
        <f>[1]DB!AY13</f>
        <v>0</v>
      </c>
      <c r="L13" s="21">
        <f>IF(Rækker!D5="MR",K13+1,K13)</f>
        <v>0</v>
      </c>
      <c r="M13" s="21">
        <f>[1]DB!AZ13</f>
        <v>0</v>
      </c>
      <c r="N13" s="21">
        <f>IF(Rækker!D5="Res",M13+1,M13)</f>
        <v>0</v>
      </c>
      <c r="O13" s="21" t="str">
        <f>IF(H13=1,"Disket",IF(J13=1,"Udmeldt",IF(AND(C13&gt;0,D13=F13),"Walkover",IF(K13&lt;&gt;L13,CONCATENATE("MR ",L13),IF(M13&lt;&gt;N13,IF(N13&gt;10,"Res 10+",CONCATENATE("Res ",N13)),"")))))</f>
        <v/>
      </c>
      <c r="P13" s="21">
        <f>IF('Rækker - Udskrift'!I7=1,1,IF('Rækker - Udskrift'!J7="X","X",IF('Rækker - Udskrift'!K7=2,2,"")))</f>
        <v>1</v>
      </c>
      <c r="Q13" s="21">
        <f>IF('Rækker - Udskrift'!I8=1,1,IF('Rækker - Udskrift'!J8="X","X",IF('Rækker - Udskrift'!K8=2,2,"")))</f>
        <v>1</v>
      </c>
      <c r="R13" s="21">
        <f>IF('Rækker - Udskrift'!I9=1,1,IF('Rækker - Udskrift'!J9="X","X",IF('Rækker - Udskrift'!K9=2,2,"")))</f>
        <v>1</v>
      </c>
      <c r="S13" s="21">
        <f>IF('Rækker - Udskrift'!I10=1,1,IF('Rækker - Udskrift'!J10="X","X",IF('Rækker - Udskrift'!K10=2,2,"")))</f>
        <v>2</v>
      </c>
      <c r="T13" s="21">
        <f>IF('Rækker - Udskrift'!I11=1,1,IF('Rækker - Udskrift'!J11="X","X",IF('Rækker - Udskrift'!K11=2,2,"")))</f>
        <v>1</v>
      </c>
      <c r="U13" s="21" t="str">
        <f>IF('Rækker - Udskrift'!I12=1,1,IF('Rækker - Udskrift'!J12="X","X",IF('Rækker - Udskrift'!K12=2,2,"")))</f>
        <v>X</v>
      </c>
      <c r="V13" s="21">
        <f>IF('Rækker - Udskrift'!I13=1,1,IF('Rækker - Udskrift'!J13="X","X",IF('Rækker - Udskrift'!K13=2,2,"")))</f>
        <v>2</v>
      </c>
      <c r="W13" s="21">
        <f>IF('Rækker - Udskrift'!I14=1,1,IF('Rækker - Udskrift'!J14="X","X",IF('Rækker - Udskrift'!K14=2,2,"")))</f>
        <v>1</v>
      </c>
      <c r="X13" s="21">
        <f>IF('Rækker - Udskrift'!I15=1,1,IF('Rækker - Udskrift'!J15="X","X",IF('Rækker - Udskrift'!K15=2,2,"")))</f>
        <v>2</v>
      </c>
      <c r="Y13" s="21">
        <f>IF('Rækker - Udskrift'!I16=1,1,IF('Rækker - Udskrift'!J16="X","X",IF('Rækker - Udskrift'!K16=2,2,"")))</f>
        <v>1</v>
      </c>
      <c r="Z13" s="21">
        <f>IF('Rækker - Udskrift'!I17=1,1,IF('Rækker - Udskrift'!J17="X","X",IF('Rækker - Udskrift'!K17=2,2,"")))</f>
        <v>1</v>
      </c>
      <c r="AA13" s="21">
        <f>IF('Rækker - Udskrift'!I18=1,1,IF('Rækker - Udskrift'!J18="X","X",IF('Rækker - Udskrift'!K18=2,2,"")))</f>
        <v>1</v>
      </c>
      <c r="AB13" s="21">
        <f>IF('Rækker - Udskrift'!I19=1,1,IF('Rækker - Udskrift'!J19="X","X",IF('Rækker - Udskrift'!K19=2,2,"")))</f>
        <v>1</v>
      </c>
      <c r="AC13" s="21">
        <f>IF(O13&lt;&gt;"",IF(LEFT(O13,3)="Res",F1,0),IF(P13=P10,1,0)+IF(Q13=Q10,1,0)+IF(R13=R10,1,0)+IF(S13=S10,1,0)+IF(T13=T10,1,0)+IF(U13=U10,1,0)+IF(V13=V10,1,0)+IF(W13=W10,1,0)+IF(X13=X10,1,0)+IF(Y13=Y10,1,0)+IF(Z13=Z10,1,0)+IF(AA13=AA10,1,0)+IF(AB13=AB10,1,0))</f>
        <v>0</v>
      </c>
      <c r="AD13" s="21">
        <f>RANK(AC13,AC12:AC15,1)</f>
        <v>1</v>
      </c>
      <c r="AE13" s="21">
        <f>IF(O13&lt;&gt;"",IF(LEFT(O13,3)="Res",AC13,0),AC13)</f>
        <v>0</v>
      </c>
      <c r="AF13" s="21">
        <f>IF(P13=P10,4096,0)+IF(Q13=Q10,2048,0)+IF(R13=R10,1024,0)+IF(S13=S10,512,0)+IF(T13=T10,256,0)+IF(U13=U10,128,0)+IF(V13=V10,64,0)+IF(W13=W10,32,0)+IF(X13=X10,16,0)+IF(Y13=Y10,8,0)+IF(Z13=Z10,4,0)+IF(AA13=AA10,2,0)+IF(AB13=AB10,1,0)</f>
        <v>0</v>
      </c>
      <c r="AG13" s="21">
        <f>RANK(AF13,AF12:AF15,1)</f>
        <v>1</v>
      </c>
      <c r="AH13" s="21">
        <f>(AD13*65)+AG13</f>
        <v>66</v>
      </c>
      <c r="AI13" s="21">
        <f>RANK(AH13,AH12:AH15,1)</f>
        <v>1</v>
      </c>
      <c r="AJ13" s="21">
        <f>IF(AND(A13&lt;&gt;"",O13=""),AC13,0)</f>
        <v>0</v>
      </c>
      <c r="AK13" s="21">
        <f>IF(AND(A13&lt;&gt;"",O13=""),1,0)</f>
        <v>1</v>
      </c>
      <c r="AL13" s="21">
        <f>E13</f>
        <v>2</v>
      </c>
      <c r="AM13" s="21">
        <f>E13</f>
        <v>2</v>
      </c>
      <c r="AN13" s="21">
        <f>IF(C13&gt;0,IF(AL13&gt;0,COUNTIF(AL12:AL13,"&gt;0"),0),0)</f>
        <v>2</v>
      </c>
      <c r="AO13" s="21">
        <f>IF(AN13&gt;0,AN13,MAX(AN12:AN15)+COUNTIF(AN12:AN13,"=0"))</f>
        <v>2</v>
      </c>
      <c r="AP13" s="21" t="str">
        <f>IF(B24&gt;MAX(AN12:AN15),"",DGET(A11:AO15,"Signatur",B23:B24))</f>
        <v>LPHJ</v>
      </c>
      <c r="AQ13" s="21">
        <f>IF(B24&gt;MAX(AN12:AN15),0,DGET(A11:AO15,"Deltager E",B23:B24))</f>
        <v>2</v>
      </c>
      <c r="AR13" s="21">
        <f>IF(B24&gt;MAX(AN12:AN15),0,DGET(A11:AO15,"Kval E",B23:B24))</f>
        <v>2</v>
      </c>
      <c r="AS13" s="21">
        <f>IF(B24&gt;MAX(AN12:AN15),0,DGET(A11:AO15,"Dis E",B23:B24))</f>
        <v>0</v>
      </c>
      <c r="AT13" s="21">
        <f>IF(B24&gt;MAX(AN12:AN15),0,DGET(A11:AO15,"Udm E",B23:B24))</f>
        <v>0</v>
      </c>
      <c r="AU13" s="21">
        <f>IF(B24&gt;MAX(AN12:AN15),0,DGET(A11:AO15,"MR E",B23:B24))</f>
        <v>0</v>
      </c>
      <c r="AV13" s="21">
        <f>IF(B24&gt;MAX(AN12:AN15),0,DGET(A11:AO15,"Res E",B23:B24))</f>
        <v>0</v>
      </c>
    </row>
    <row r="14" spans="1:48" x14ac:dyDescent="0.15">
      <c r="A14" s="21" t="str">
        <f>[1]DB!AS14</f>
        <v/>
      </c>
      <c r="B14" s="21">
        <v>3</v>
      </c>
      <c r="C14" s="21">
        <f>[1]DB!AT14</f>
        <v>0</v>
      </c>
      <c r="D14" s="21">
        <f>[1]DB!AT14</f>
        <v>0</v>
      </c>
      <c r="E14" s="21">
        <f>IF(B6=13,IF(A14&lt;&gt;"",D14-COUNTIF(U18:U19,A14)-COUNTIF(Y18:Y19,A14),0),D14)</f>
        <v>0</v>
      </c>
      <c r="F14" s="21">
        <f>[1]DB!BA14</f>
        <v>0</v>
      </c>
      <c r="G14" s="21">
        <f>[1]DB!AW14</f>
        <v>0</v>
      </c>
      <c r="H14" s="21">
        <f>IF(Rækker!F5="Disket",1,IF(L14&gt;5,1,IF(G14=1,1,0)))</f>
        <v>0</v>
      </c>
      <c r="I14" s="21">
        <f>[1]DB!AX14</f>
        <v>0</v>
      </c>
      <c r="J14" s="21">
        <f>IF(Rækker!F5="Udmeldt",1,IF(I14=1,1,0))</f>
        <v>0</v>
      </c>
      <c r="K14" s="21">
        <f>[1]DB!AY14</f>
        <v>0</v>
      </c>
      <c r="L14" s="21">
        <f>IF(Rækker!F5="MR",K14+1,K14)</f>
        <v>0</v>
      </c>
      <c r="M14" s="21">
        <f>[1]DB!AZ14</f>
        <v>0</v>
      </c>
      <c r="N14" s="21">
        <f>IF(Rækker!F5="Res",M14+1,M14)</f>
        <v>0</v>
      </c>
      <c r="O14" s="21" t="str">
        <f>IF(H14=1,"Disket",IF(J14=1,"Udmeldt",IF(AND(C14&gt;0,D14=F14),"Walkover",IF(K14&lt;&gt;L14,CONCATENATE("MR ",L14),IF(M14&lt;&gt;N14,IF(N14&gt;10,"Res 10+",CONCATENATE("Res ",N14)),"")))))</f>
        <v/>
      </c>
      <c r="P14" s="21" t="str">
        <f>IF('Rækker - Udskrift'!L7=1,1,IF('Rækker - Udskrift'!M7="X","X",IF('Rækker - Udskrift'!N7=2,2,"")))</f>
        <v/>
      </c>
      <c r="Q14" s="21" t="str">
        <f>IF('Rækker - Udskrift'!L8=1,1,IF('Rækker - Udskrift'!M8="X","X",IF('Rækker - Udskrift'!N8=2,2,"")))</f>
        <v/>
      </c>
      <c r="R14" s="21" t="str">
        <f>IF('Rækker - Udskrift'!L9=1,1,IF('Rækker - Udskrift'!M9="X","X",IF('Rækker - Udskrift'!N9=2,2,"")))</f>
        <v/>
      </c>
      <c r="S14" s="21" t="str">
        <f>IF('Rækker - Udskrift'!L10=1,1,IF('Rækker - Udskrift'!M10="X","X",IF('Rækker - Udskrift'!N10=2,2,"")))</f>
        <v/>
      </c>
      <c r="T14" s="21" t="str">
        <f>IF('Rækker - Udskrift'!L11=1,1,IF('Rækker - Udskrift'!M11="X","X",IF('Rækker - Udskrift'!N11=2,2,"")))</f>
        <v/>
      </c>
      <c r="U14" s="21" t="str">
        <f>IF('Rækker - Udskrift'!L12=1,1,IF('Rækker - Udskrift'!M12="X","X",IF('Rækker - Udskrift'!N12=2,2,"")))</f>
        <v/>
      </c>
      <c r="V14" s="21" t="str">
        <f>IF('Rækker - Udskrift'!L13=1,1,IF('Rækker - Udskrift'!M13="X","X",IF('Rækker - Udskrift'!N13=2,2,"")))</f>
        <v/>
      </c>
      <c r="W14" s="21" t="str">
        <f>IF('Rækker - Udskrift'!L14=1,1,IF('Rækker - Udskrift'!M14="X","X",IF('Rækker - Udskrift'!N14=2,2,"")))</f>
        <v/>
      </c>
      <c r="X14" s="21" t="str">
        <f>IF('Rækker - Udskrift'!L15=1,1,IF('Rækker - Udskrift'!M15="X","X",IF('Rækker - Udskrift'!N15=2,2,"")))</f>
        <v/>
      </c>
      <c r="Y14" s="21" t="str">
        <f>IF('Rækker - Udskrift'!L16=1,1,IF('Rækker - Udskrift'!M16="X","X",IF('Rækker - Udskrift'!N16=2,2,"")))</f>
        <v/>
      </c>
      <c r="Z14" s="21" t="str">
        <f>IF('Rækker - Udskrift'!L17=1,1,IF('Rækker - Udskrift'!M17="X","X",IF('Rækker - Udskrift'!N17=2,2,"")))</f>
        <v/>
      </c>
      <c r="AA14" s="21" t="str">
        <f>IF('Rækker - Udskrift'!L18=1,1,IF('Rækker - Udskrift'!M18="X","X",IF('Rækker - Udskrift'!N18=2,2,"")))</f>
        <v/>
      </c>
      <c r="AB14" s="21" t="str">
        <f>IF('Rækker - Udskrift'!L19=1,1,IF('Rækker - Udskrift'!M19="X","X",IF('Rækker - Udskrift'!N19=2,2,"")))</f>
        <v/>
      </c>
      <c r="AC14" s="21">
        <f>IF(O14&lt;&gt;"",IF(LEFT(O14,3)="Res",F1,0),IF(P14=P10,1,0)+IF(Q14=Q10,1,0)+IF(R14=R10,1,0)+IF(S14=S10,1,0)+IF(T14=T10,1,0)+IF(U14=U10,1,0)+IF(V14=V10,1,0)+IF(W14=W10,1,0)+IF(X14=X10,1,0)+IF(Y14=Y10,1,0)+IF(Z14=Z10,1,0)+IF(AA14=AA10,1,0)+IF(AB14=AB10,1,0))</f>
        <v>0</v>
      </c>
      <c r="AD14" s="21">
        <f>RANK(AC14,AC12:AC15,1)</f>
        <v>1</v>
      </c>
      <c r="AE14" s="21">
        <f>IF(O14&lt;&gt;"",IF(LEFT(O14,3)="Res",AC14,0),AC14)</f>
        <v>0</v>
      </c>
      <c r="AF14" s="21">
        <f>IF(P14=P10,4096,0)+IF(Q14=Q10,2048,0)+IF(R14=R10,1024,0)+IF(S14=S10,512,0)+IF(T14=T10,256,0)+IF(U14=U10,128,0)+IF(V14=V10,64,0)+IF(W14=W10,32,0)+IF(X14=X10,16,0)+IF(Y14=Y10,8,0)+IF(Z14=Z10,4,0)+IF(AA14=AA10,2,0)+IF(AB14=AB10,1,0)</f>
        <v>0</v>
      </c>
      <c r="AG14" s="21">
        <f>RANK(AF14,AF12:AF15,1)</f>
        <v>1</v>
      </c>
      <c r="AH14" s="21">
        <f>(AD14*65)+AG14</f>
        <v>66</v>
      </c>
      <c r="AI14" s="21">
        <f>RANK(AH14,AH12:AH15,1)</f>
        <v>1</v>
      </c>
      <c r="AJ14" s="21">
        <f>IF(AND(A14&lt;&gt;"",O14=""),AC14,0)</f>
        <v>0</v>
      </c>
      <c r="AK14" s="21">
        <f>IF(AND(A14&lt;&gt;"",O14=""),1,0)</f>
        <v>0</v>
      </c>
      <c r="AL14" s="21">
        <f>E14</f>
        <v>0</v>
      </c>
      <c r="AM14" s="21">
        <f>E14</f>
        <v>0</v>
      </c>
      <c r="AN14" s="21">
        <f>IF(C14&gt;0,IF(AL14&gt;0,COUNTIF(AL12:AL14,"&gt;0"),0),0)</f>
        <v>0</v>
      </c>
      <c r="AO14" s="21">
        <f>IF(AN14&gt;0,AN14,MAX(AN12:AN15)+COUNTIF(AN12:AN14,"=0"))</f>
        <v>3</v>
      </c>
      <c r="AP14" s="21" t="str">
        <f>IF(C24&gt;MAX(AN12:AN15),"",DGET(A11:AO15,"Signatur",C23:C24))</f>
        <v/>
      </c>
      <c r="AQ14" s="21">
        <f>IF(C24&gt;MAX(AN12:AN15),0,DGET(A11:AO15,"Deltager E",C23:C24))</f>
        <v>0</v>
      </c>
      <c r="AR14" s="21">
        <f>IF(C24&gt;MAX(AN12:AN15),0,DGET(A11:AO15,"Kval E",C23:C24))</f>
        <v>0</v>
      </c>
      <c r="AS14" s="21">
        <f>IF(C24&gt;MAX(AN12:AN15),0,DGET(A11:AO15,"Dis E",C23:C24))</f>
        <v>0</v>
      </c>
      <c r="AT14" s="21">
        <f>IF(C24&gt;MAX(AN12:AN15),0,DGET(A11:AO15,"Udm E",C23:C24))</f>
        <v>0</v>
      </c>
      <c r="AU14" s="21">
        <f>IF(C24&gt;MAX(AN12:AN15),0,DGET(A11:AO15,"MR E",C23:C24))</f>
        <v>0</v>
      </c>
      <c r="AV14" s="21">
        <f>IF(C24&gt;MAX(AN12:AN15),0,DGET(A11:AO15,"Res E",C23:C24))</f>
        <v>0</v>
      </c>
    </row>
    <row r="15" spans="1:48" x14ac:dyDescent="0.15">
      <c r="A15" s="21" t="str">
        <f>[1]DB!AS15</f>
        <v/>
      </c>
      <c r="B15" s="21">
        <v>4</v>
      </c>
      <c r="C15" s="21">
        <f>[1]DB!AT15</f>
        <v>0</v>
      </c>
      <c r="D15" s="21">
        <f>[1]DB!AT15</f>
        <v>0</v>
      </c>
      <c r="E15" s="21">
        <f>IF(B6=13,IF(A15&lt;&gt;"",D15-COUNTIF(U18:U19,A15)-COUNTIF(Y18:Y19,A15),0),D15)</f>
        <v>0</v>
      </c>
      <c r="F15" s="21">
        <f>[1]DB!BA15</f>
        <v>0</v>
      </c>
      <c r="G15" s="21">
        <f>[1]DB!AW15</f>
        <v>0</v>
      </c>
      <c r="H15" s="21">
        <f>IF(Rækker!H5="Disket",1,IF(L15&gt;5,1,IF(G15=1,1,0)))</f>
        <v>0</v>
      </c>
      <c r="I15" s="21">
        <f>[1]DB!AX15</f>
        <v>0</v>
      </c>
      <c r="J15" s="21">
        <f>IF(Rækker!H5="Udmeldt",1,IF(I15=1,1,0))</f>
        <v>0</v>
      </c>
      <c r="K15" s="21">
        <f>[1]DB!AY15</f>
        <v>0</v>
      </c>
      <c r="L15" s="21">
        <f>IF(Rækker!H5="MR",K15+1,K15)</f>
        <v>0</v>
      </c>
      <c r="M15" s="21">
        <f>[1]DB!AZ15</f>
        <v>0</v>
      </c>
      <c r="N15" s="21">
        <f>IF(Rækker!H5="Res",M15+1,M15)</f>
        <v>0</v>
      </c>
      <c r="O15" s="21" t="str">
        <f>IF(H15=1,"Disket",IF(J15=1,"Udmeldt",IF(AND(C15&gt;0,D15=F15),"Walkover",IF(K15&lt;&gt;L15,CONCATENATE("MR ",L15),IF(M15&lt;&gt;N15,IF(N15&gt;10,"Res 10+",CONCATENATE("Res ",N15)),"")))))</f>
        <v/>
      </c>
      <c r="P15" s="21" t="str">
        <f>IF('Rækker - Udskrift'!O7=1,1,IF('Rækker - Udskrift'!P7="X","X",IF('Rækker - Udskrift'!Q7=2,2,"")))</f>
        <v/>
      </c>
      <c r="Q15" s="21" t="str">
        <f>IF('Rækker - Udskrift'!O8=1,1,IF('Rækker - Udskrift'!P8="X","X",IF('Rækker - Udskrift'!Q8=2,2,"")))</f>
        <v/>
      </c>
      <c r="R15" s="21" t="str">
        <f>IF('Rækker - Udskrift'!O9=1,1,IF('Rækker - Udskrift'!P9="X","X",IF('Rækker - Udskrift'!Q9=2,2,"")))</f>
        <v/>
      </c>
      <c r="S15" s="21" t="str">
        <f>IF('Rækker - Udskrift'!O10=1,1,IF('Rækker - Udskrift'!P10="X","X",IF('Rækker - Udskrift'!Q10=2,2,"")))</f>
        <v/>
      </c>
      <c r="T15" s="21" t="str">
        <f>IF('Rækker - Udskrift'!O11=1,1,IF('Rækker - Udskrift'!P11="X","X",IF('Rækker - Udskrift'!Q11=2,2,"")))</f>
        <v/>
      </c>
      <c r="U15" s="21" t="str">
        <f>IF('Rækker - Udskrift'!O12=1,1,IF('Rækker - Udskrift'!P12="X","X",IF('Rækker - Udskrift'!Q12=2,2,"")))</f>
        <v/>
      </c>
      <c r="V15" s="21" t="str">
        <f>IF('Rækker - Udskrift'!O13=1,1,IF('Rækker - Udskrift'!P13="X","X",IF('Rækker - Udskrift'!Q13=2,2,"")))</f>
        <v/>
      </c>
      <c r="W15" s="21" t="str">
        <f>IF('Rækker - Udskrift'!O14=1,1,IF('Rækker - Udskrift'!P14="X","X",IF('Rækker - Udskrift'!Q14=2,2,"")))</f>
        <v/>
      </c>
      <c r="X15" s="21" t="str">
        <f>IF('Rækker - Udskrift'!O15=1,1,IF('Rækker - Udskrift'!P15="X","X",IF('Rækker - Udskrift'!Q15=2,2,"")))</f>
        <v/>
      </c>
      <c r="Y15" s="21" t="str">
        <f>IF('Rækker - Udskrift'!O16=1,1,IF('Rækker - Udskrift'!P16="X","X",IF('Rækker - Udskrift'!Q16=2,2,"")))</f>
        <v/>
      </c>
      <c r="Z15" s="21" t="str">
        <f>IF('Rækker - Udskrift'!O17=1,1,IF('Rækker - Udskrift'!P17="X","X",IF('Rækker - Udskrift'!Q17=2,2,"")))</f>
        <v/>
      </c>
      <c r="AA15" s="21" t="str">
        <f>IF('Rækker - Udskrift'!O18=1,1,IF('Rækker - Udskrift'!P18="X","X",IF('Rækker - Udskrift'!Q18=2,2,"")))</f>
        <v/>
      </c>
      <c r="AB15" s="21" t="str">
        <f>IF('Rækker - Udskrift'!O19=1,1,IF('Rækker - Udskrift'!P19="X","X",IF('Rækker - Udskrift'!Q19=2,2,"")))</f>
        <v/>
      </c>
      <c r="AC15" s="21">
        <f>IF(O15&lt;&gt;"",IF(LEFT(O15,3)="Res",F1,0),IF(P15=P10,1,0)+IF(Q15=Q10,1,0)+IF(R15=R10,1,0)+IF(S15=S10,1,0)+IF(T15=T10,1,0)+IF(U15=U10,1,0)+IF(V15=V10,1,0)+IF(W15=W10,1,0)+IF(X15=X10,1,0)+IF(Y15=Y10,1,0)+IF(Z15=Z10,1,0)+IF(AA15=AA10,1,0)+IF(AB15=AB10,1,0))</f>
        <v>0</v>
      </c>
      <c r="AD15" s="21">
        <f>RANK(AC15,AC12:AC15,1)</f>
        <v>1</v>
      </c>
      <c r="AE15" s="21">
        <f>IF(O15&lt;&gt;"",IF(LEFT(O15,3)="Res",AC15,0),AC15)</f>
        <v>0</v>
      </c>
      <c r="AF15" s="21">
        <f>IF(P15=P10,4096,0)+IF(Q15=Q10,2048,0)+IF(R15=R10,1024,0)+IF(S15=S10,512,0)+IF(T15=T10,256,0)+IF(U15=U10,128,0)+IF(V15=V10,64,0)+IF(W15=W10,32,0)+IF(X15=X10,16,0)+IF(Y15=Y10,8,0)+IF(Z15=Z10,4,0)+IF(AA15=AA10,2,0)+IF(AB15=AB10,1,0)</f>
        <v>0</v>
      </c>
      <c r="AG15" s="21">
        <f>RANK(AF15,AF12:AF15,1)</f>
        <v>1</v>
      </c>
      <c r="AH15" s="21">
        <f>(AD15*65)+AG15</f>
        <v>66</v>
      </c>
      <c r="AI15" s="21">
        <f>RANK(AH15,AH12:AH15,1)</f>
        <v>1</v>
      </c>
      <c r="AJ15" s="21">
        <f>IF(AND(A15&lt;&gt;"",O15=""),AC15,0)</f>
        <v>0</v>
      </c>
      <c r="AK15" s="21">
        <f>IF(AND(A15&lt;&gt;"",O15=""),1,0)</f>
        <v>0</v>
      </c>
      <c r="AL15" s="21">
        <f>E15</f>
        <v>0</v>
      </c>
      <c r="AM15" s="21">
        <f>E15</f>
        <v>0</v>
      </c>
      <c r="AN15" s="21">
        <f>IF(C15&gt;0,IF(AL15&gt;0,COUNTIF(AL12:AL15,"&gt;0"),0),0)</f>
        <v>0</v>
      </c>
      <c r="AO15" s="21">
        <f>IF(AN15&gt;0,AN15,MAX(AN12:AN15)+COUNTIF(AN12:AN15,"=0"))</f>
        <v>4</v>
      </c>
      <c r="AP15" s="21" t="str">
        <f>IF(D24&gt;MAX(AN12:AN15),"",DGET(A11:AO15,"Signatur",D23:D24))</f>
        <v/>
      </c>
      <c r="AQ15" s="21">
        <f>IF(D24&gt;MAX(AN12:AN15),0,DGET(A11:AO15,"Deltager E",D23:D24))</f>
        <v>0</v>
      </c>
      <c r="AR15" s="21">
        <f>IF(D24&gt;MAX(AN12:AN15),0,DGET(A11:AO15,"Kval E",D23:D24))</f>
        <v>0</v>
      </c>
      <c r="AS15" s="21">
        <f>IF(D24&gt;MAX(AN12:AN15),0,DGET(A11:AO15,"Dis E",D23:D24))</f>
        <v>0</v>
      </c>
      <c r="AT15" s="21">
        <f>IF(D24&gt;MAX(AN12:AN15),0,DGET(A11:AO15,"Udm E",D23:D24))</f>
        <v>0</v>
      </c>
      <c r="AU15" s="21">
        <f>IF(D24&gt;MAX(AN12:AN15),0,DGET(A11:AO15,"MR E",D23:D24))</f>
        <v>0</v>
      </c>
      <c r="AV15" s="21">
        <f>IF(D24&gt;MAX(AN12:AN15),0,DGET(A11:AO15,"Res E",D23:D24))</f>
        <v>0</v>
      </c>
    </row>
    <row r="17" spans="1:25" x14ac:dyDescent="0.15">
      <c r="A17" s="21" t="s">
        <v>72</v>
      </c>
      <c r="B17" s="21" t="s">
        <v>73</v>
      </c>
      <c r="C17" s="21" t="s">
        <v>74</v>
      </c>
      <c r="D17" s="21" t="s">
        <v>75</v>
      </c>
      <c r="E17" s="21" t="s">
        <v>76</v>
      </c>
      <c r="F17" s="21" t="s">
        <v>77</v>
      </c>
      <c r="G17" s="21" t="s">
        <v>86</v>
      </c>
      <c r="H17" s="21" t="s">
        <v>87</v>
      </c>
      <c r="I17" s="21" t="s">
        <v>88</v>
      </c>
      <c r="J17" s="21" t="s">
        <v>89</v>
      </c>
      <c r="K17" s="21" t="s">
        <v>79</v>
      </c>
      <c r="L17" s="21" t="s">
        <v>95</v>
      </c>
      <c r="M17" s="21" t="s">
        <v>80</v>
      </c>
      <c r="N17" s="21" t="s">
        <v>93</v>
      </c>
      <c r="O17" s="21" t="s">
        <v>90</v>
      </c>
      <c r="P17" s="21" t="s">
        <v>91</v>
      </c>
      <c r="Q17" s="21" t="s">
        <v>92</v>
      </c>
      <c r="R17" s="21" t="s">
        <v>81</v>
      </c>
      <c r="S17" s="21" t="s">
        <v>94</v>
      </c>
      <c r="T17" s="21" t="s">
        <v>82</v>
      </c>
      <c r="U17" s="21" t="s">
        <v>83</v>
      </c>
      <c r="V17" s="21" t="s">
        <v>84</v>
      </c>
      <c r="W17" s="21" t="s">
        <v>85</v>
      </c>
      <c r="Y17" s="21" t="s">
        <v>96</v>
      </c>
    </row>
    <row r="18" spans="1:25" x14ac:dyDescent="0.15">
      <c r="A18" s="21" t="str">
        <f>IF(B2=B4,[1]DB!A22,"")</f>
        <v>Benbo</v>
      </c>
      <c r="B18" s="21" t="str">
        <f>IF(B2=B4,[1]DB!B22,"")</f>
        <v>Benbo (8)</v>
      </c>
      <c r="C18" s="21">
        <f>IF(B2=B4,[1]DB!C22,"")</f>
        <v>96</v>
      </c>
      <c r="D18" s="21" t="str">
        <f>IF(B2=B4,[1]DB!D22,"")</f>
        <v>LPHJ</v>
      </c>
      <c r="E18" s="21" t="str">
        <f>IF(B2=B4,[1]DB!E22,"")</f>
        <v>LPHJ (4)</v>
      </c>
      <c r="F18" s="21">
        <f>IF(B2=B4,[1]DB!F22,"")</f>
        <v>56</v>
      </c>
      <c r="G18" s="21">
        <f>IF(A18&lt;&gt;"",DGET(A11:AI15,"Dis E",A25:A26),0)</f>
        <v>0</v>
      </c>
      <c r="H18" s="21">
        <f>IF(A18&lt;&gt;"",DGET(A11:AI15,"Udm E",A25:A26),0)</f>
        <v>0</v>
      </c>
      <c r="I18" s="21">
        <f>IF(A18&lt;&gt;"",DGET(A11:AI15,"MR E",A25:A26),0)</f>
        <v>0</v>
      </c>
      <c r="J18" s="21">
        <f>IF(A18&lt;&gt;"",DGET(A11:AI15,"Res E",A25:A26),0)</f>
        <v>1</v>
      </c>
      <c r="K18" s="21">
        <f>IF(A18&lt;&gt;"",DGET(A11:AI15,"ES N",A25:A26),0)</f>
        <v>0</v>
      </c>
      <c r="L18" s="21" t="str">
        <f>IF(B6=13,IF(B4=B2,IF(A18=D18,"",IF(AND(G18=0,H18=0,N18=0,O18=0),K18,"")),""),"")</f>
        <v/>
      </c>
      <c r="M18" s="21">
        <f>IF(A18&lt;&gt;"",DGET(A11:AI15,"BU Pl.",A25:A26),0)</f>
        <v>1</v>
      </c>
      <c r="N18" s="21">
        <f>IF(A18&lt;&gt;"",DGET(A11:AI15,"Dis E",C25:C26),0)</f>
        <v>0</v>
      </c>
      <c r="O18" s="21">
        <f>IF(A18&lt;&gt;"",DGET(A11:AI15,"Udm E",C25:C26),0)</f>
        <v>0</v>
      </c>
      <c r="P18" s="21">
        <f>IF(A18&lt;&gt;"",DGET(A11:AI15,"MR E",C25:C26),0)</f>
        <v>0</v>
      </c>
      <c r="Q18" s="21">
        <f>IF(A18&lt;&gt;"",DGET(A11:AI15,"Res E",C25:C26),0)</f>
        <v>0</v>
      </c>
      <c r="R18" s="21">
        <f>IF(A18&lt;&gt;"",DGET(A11:AI15,"ES N",C25:C26),0)</f>
        <v>0</v>
      </c>
      <c r="S18" s="21" t="str">
        <f>IF(B6=13,IF(B4=B2,IF(A18=D18,"",IF(AND(G18=0,H18=0,N18=0,O18=0),R18,"")),""),"")</f>
        <v/>
      </c>
      <c r="T18" s="21">
        <f>IF(A18&lt;&gt;"",DGET(A11:AI15,"BU Pl.",C25:C26),0)</f>
        <v>1</v>
      </c>
      <c r="U18" s="21" t="str">
        <f>IF(B6=13,IF(B4=B2,IF(OR(N18=1,O18=1),A18,IF(AND(OR(G18=1,H18=1),AND(N18=0,O18=0)),D18,IF(A18=D18,IF(F18&gt;C18,D18,A18),""))),""),"")</f>
        <v/>
      </c>
      <c r="V18" s="21" t="str">
        <f>IF(B6=13,IF(B4=B2,IF(OR(N18=1,O18=1),B18,IF(AND(OR(G18=1,H18=1),AND(N18=0,O18=0)),E18,IF(A18=D18,IF(F18&gt;C18,E18,B18),""))),""),"")</f>
        <v/>
      </c>
      <c r="W18" s="21" t="str">
        <f>IF(B6=13,IF(B4=B2,IF(OR(N18=1,O18=1),C18,IF(AND(OR(G18=1,H18=1),AND(N18=0,O18=0)),F18,IF(A18=D18,IF(F18&gt;C18,F18,C18),""))),""),"")</f>
        <v/>
      </c>
      <c r="Y18" s="21" t="str">
        <f>IF(U18=A18,D18,IF(U18=D18,A18,""))</f>
        <v/>
      </c>
    </row>
    <row r="19" spans="1:25" x14ac:dyDescent="0.15">
      <c r="A19" s="21" t="str">
        <f>IF(B2=B4,[1]DB!A23,"")</f>
        <v>Benbo</v>
      </c>
      <c r="B19" s="21" t="str">
        <f>IF(B2=B4,[1]DB!B23,"")</f>
        <v>Benbo (16)</v>
      </c>
      <c r="C19" s="21">
        <f>IF(B2=B4,[1]DB!C23,"")</f>
        <v>95</v>
      </c>
      <c r="D19" s="21" t="str">
        <f>IF(B2=B4,[1]DB!D23,"")</f>
        <v>LPHJ</v>
      </c>
      <c r="E19" s="21" t="str">
        <f>IF(B2=B4,[1]DB!E23,"")</f>
        <v>LPHJ (10)</v>
      </c>
      <c r="F19" s="21">
        <f>IF(B2=B4,[1]DB!F23,"")</f>
        <v>56</v>
      </c>
      <c r="G19" s="21">
        <f>IF(A19&lt;&gt;"",DGET(A11:AI15,"Dis E",B25:B26),0)</f>
        <v>0</v>
      </c>
      <c r="H19" s="21">
        <f>IF(A19&lt;&gt;"",DGET(A11:AI15,"Udm E",B25:B26),0)</f>
        <v>0</v>
      </c>
      <c r="I19" s="21">
        <f>IF(A19&lt;&gt;"",DGET(A11:AI15,"MR E",B25:B26),0)</f>
        <v>0</v>
      </c>
      <c r="J19" s="21">
        <f>IF(A19&lt;&gt;"",DGET(A11:AI15,"Res E",B25:B26),0)</f>
        <v>1</v>
      </c>
      <c r="K19" s="21">
        <f>IF(A19&lt;&gt;"",DGET(A11:AI15,"ES N",B25:B26),0)</f>
        <v>0</v>
      </c>
      <c r="L19" s="21" t="str">
        <f>IF(B6=13,IF(B4=B2,IF(A19=D19,"",IF(AND(G19=0,H19=0,N19=0,O19=0),K19,"")),""),"")</f>
        <v/>
      </c>
      <c r="M19" s="21">
        <f>IF(A19&lt;&gt;"",DGET(A11:AI15,"BU Pl.",B25:B26),0)</f>
        <v>1</v>
      </c>
      <c r="N19" s="21">
        <f>IF(A19&lt;&gt;"",DGET(A11:AI15,"Dis E",D25:D26),0)</f>
        <v>0</v>
      </c>
      <c r="O19" s="21">
        <f>IF(A19&lt;&gt;"",DGET(A11:AI15,"Udm E",D25:D26),0)</f>
        <v>0</v>
      </c>
      <c r="P19" s="21">
        <f>IF(A19&lt;&gt;"",DGET(A11:AI15,"MR E",D25:D26),0)</f>
        <v>0</v>
      </c>
      <c r="Q19" s="21">
        <f>IF(A19&lt;&gt;"",DGET(A11:AI15,"Res E",D25:D26),0)</f>
        <v>0</v>
      </c>
      <c r="R19" s="21">
        <f>IF(A19&lt;&gt;"",DGET(A11:AI15,"ES N",D25:D26),0)</f>
        <v>0</v>
      </c>
      <c r="S19" s="21" t="str">
        <f>IF(B6=13,IF(B4=B2,IF(A19=D19,"",IF(AND(G19=0,H19=0,N19=0,O19=0),R19,"")),""),"")</f>
        <v/>
      </c>
      <c r="T19" s="21">
        <f>IF(A19&lt;&gt;"",DGET(A11:AI15,"BU Pl.",D25:D26),0)</f>
        <v>1</v>
      </c>
      <c r="U19" s="21" t="str">
        <f>IF(B6=13,IF(B4=B2,IF(OR(N19=1,O19=1),A19,IF(AND(OR(G19=1,H19=1),AND(N19=0,O19=0)),D19,IF(A19=D19,IF(F19&gt;C19,D19,A19),""))),""),"")</f>
        <v/>
      </c>
      <c r="V19" s="21" t="str">
        <f>IF(B6=13,IF(B4=B2,IF(OR(N19=1,O19=1),B19,IF(AND(OR(G19=1,H19=1),AND(N19=0,O19=0)),E19,IF(A19=D19,IF(F19&gt;C19,E19,B19),""))),""),"")</f>
        <v/>
      </c>
      <c r="W19" s="21" t="str">
        <f>IF(B6=13,IF(B4=B2,IF(OR(N19=1,O19=1),C19,IF(AND(OR(G19=1,H19=1),AND(N19=0,O19=0)),F19,IF(A19=D19,IF(F19&gt;C19,F19,C19),""))),""),"")</f>
        <v/>
      </c>
      <c r="Y19" s="21" t="str">
        <f>IF(U19=A19,D19,IF(U19=D19,A19,""))</f>
        <v/>
      </c>
    </row>
    <row r="21" spans="1:25" x14ac:dyDescent="0.15">
      <c r="A21" s="21" t="s">
        <v>25</v>
      </c>
      <c r="B21" s="21" t="s">
        <v>25</v>
      </c>
      <c r="C21" s="21" t="s">
        <v>25</v>
      </c>
      <c r="D21" s="21" t="s">
        <v>25</v>
      </c>
    </row>
    <row r="22" spans="1:25" x14ac:dyDescent="0.15">
      <c r="A22" s="21">
        <v>1</v>
      </c>
      <c r="B22" s="21">
        <v>2</v>
      </c>
      <c r="C22" s="21">
        <v>3</v>
      </c>
      <c r="D22" s="21">
        <v>4</v>
      </c>
    </row>
    <row r="23" spans="1:25" x14ac:dyDescent="0.15">
      <c r="A23" s="21" t="s">
        <v>68</v>
      </c>
      <c r="B23" s="21" t="s">
        <v>68</v>
      </c>
      <c r="C23" s="21" t="s">
        <v>68</v>
      </c>
      <c r="D23" s="21" t="s">
        <v>68</v>
      </c>
    </row>
    <row r="24" spans="1:25" x14ac:dyDescent="0.15">
      <c r="A24" s="21">
        <v>1</v>
      </c>
      <c r="B24" s="21">
        <v>2</v>
      </c>
      <c r="C24" s="21">
        <v>3</v>
      </c>
      <c r="D24" s="21">
        <v>4</v>
      </c>
    </row>
    <row r="25" spans="1:25" x14ac:dyDescent="0.15">
      <c r="A25" s="21" t="s">
        <v>2</v>
      </c>
      <c r="B25" s="21" t="s">
        <v>2</v>
      </c>
      <c r="C25" s="21" t="s">
        <v>2</v>
      </c>
      <c r="D25" s="21" t="s">
        <v>2</v>
      </c>
    </row>
    <row r="26" spans="1:25" x14ac:dyDescent="0.15">
      <c r="A26" s="21" t="str">
        <f>A18</f>
        <v>Benbo</v>
      </c>
      <c r="B26" s="21" t="str">
        <f>A19</f>
        <v>Benbo</v>
      </c>
      <c r="C26" s="21" t="str">
        <f>D18</f>
        <v>LPHJ</v>
      </c>
      <c r="D26" s="21" t="str">
        <f>D19</f>
        <v>LPHJ</v>
      </c>
    </row>
  </sheetData>
  <sheetProtection sheet="1" objects="1" scenarios="1"/>
  <mergeCells count="1">
    <mergeCell ref="AJ11:AK11"/>
  </mergeCells>
  <phoneticPr fontId="0" type="noConversion"/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Navngivne områder</vt:lpstr>
      </vt:variant>
      <vt:variant>
        <vt:i4>4</vt:i4>
      </vt:variant>
    </vt:vector>
  </HeadingPairs>
  <TitlesOfParts>
    <vt:vector size="10" baseType="lpstr">
      <vt:lpstr>Finaler</vt:lpstr>
      <vt:lpstr>Kampe</vt:lpstr>
      <vt:lpstr>Rækker</vt:lpstr>
      <vt:lpstr>Rækker - Udskrift</vt:lpstr>
      <vt:lpstr>Resultater</vt:lpstr>
      <vt:lpstr>DB</vt:lpstr>
      <vt:lpstr>Finaler!Udskriftsområde</vt:lpstr>
      <vt:lpstr>Rækker!Udskriftsområde</vt:lpstr>
      <vt:lpstr>Rækker - Udskrift!Udskriftsområde</vt:lpstr>
      <vt:lpstr>Resultater!Udskriftsområde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Dalsgaard Johansen</dc:creator>
  <cp:lastModifiedBy>X</cp:lastModifiedBy>
  <cp:lastPrinted>2006-06-29T19:41:03Z</cp:lastPrinted>
  <dcterms:created xsi:type="dcterms:W3CDTF">2003-03-17T15:19:10Z</dcterms:created>
  <dcterms:modified xsi:type="dcterms:W3CDTF">2026-11-05T17:05:45Z</dcterms:modified>
</cp:coreProperties>
</file>